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relli_valentina\Dropbox\Registri\"/>
    </mc:Choice>
  </mc:AlternateContent>
  <bookViews>
    <workbookView xWindow="0" yWindow="0" windowWidth="19200" windowHeight="11595"/>
  </bookViews>
  <sheets>
    <sheet name="Dettaglio spes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62" i="1" l="1"/>
  <c r="AC33" i="1"/>
  <c r="AC32" i="1"/>
  <c r="AD33" i="1"/>
  <c r="AD32" i="1"/>
  <c r="AC38" i="1" l="1"/>
  <c r="AC37" i="1"/>
  <c r="AC34" i="1"/>
  <c r="AC55" i="1" l="1"/>
  <c r="AC74" i="1"/>
  <c r="AC73" i="1"/>
  <c r="AC71" i="1"/>
  <c r="AC64" i="1"/>
  <c r="AC61" i="1"/>
  <c r="AC60" i="1"/>
  <c r="AC58" i="1"/>
  <c r="AC53" i="1"/>
  <c r="AC51" i="1"/>
  <c r="AC49" i="1"/>
  <c r="AC45" i="1"/>
  <c r="AC42" i="1"/>
  <c r="AC29" i="1"/>
  <c r="AC27" i="1"/>
  <c r="AC24" i="1"/>
  <c r="AC23" i="1"/>
  <c r="AC21" i="1"/>
  <c r="AC15" i="1"/>
  <c r="AC9" i="1"/>
  <c r="AC6" i="1"/>
  <c r="AC3" i="1"/>
  <c r="V3" i="1"/>
  <c r="T74" i="1"/>
  <c r="T72" i="1"/>
  <c r="T69" i="1"/>
  <c r="T68" i="1"/>
  <c r="T56" i="1"/>
  <c r="T48" i="1"/>
  <c r="T46" i="1"/>
  <c r="T36" i="1"/>
  <c r="T26" i="1"/>
  <c r="T12" i="1"/>
  <c r="T8" i="1"/>
  <c r="T6" i="1"/>
  <c r="G73" i="1"/>
  <c r="T73" i="1" s="1"/>
  <c r="G71" i="1"/>
  <c r="T71" i="1" s="1"/>
  <c r="G70" i="1"/>
  <c r="T70" i="1" s="1"/>
  <c r="G67" i="1"/>
  <c r="T67" i="1" s="1"/>
  <c r="G66" i="1"/>
  <c r="T66" i="1" s="1"/>
  <c r="G64" i="1"/>
  <c r="T64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5" i="1"/>
  <c r="T55" i="1" s="1"/>
  <c r="G54" i="1"/>
  <c r="T54" i="1" s="1"/>
  <c r="G53" i="1"/>
  <c r="T53" i="1" s="1"/>
  <c r="G52" i="1"/>
  <c r="T52" i="1" s="1"/>
  <c r="G51" i="1"/>
  <c r="T51" i="1" s="1"/>
  <c r="G49" i="1"/>
  <c r="T49" i="1" s="1"/>
  <c r="G47" i="1"/>
  <c r="T47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39" i="1"/>
  <c r="T39" i="1" s="1"/>
  <c r="G38" i="1"/>
  <c r="T38" i="1" s="1"/>
  <c r="G37" i="1"/>
  <c r="T37" i="1" s="1"/>
  <c r="G34" i="1"/>
  <c r="T34" i="1" s="1"/>
  <c r="G33" i="1"/>
  <c r="T33" i="1" s="1"/>
  <c r="G32" i="1"/>
  <c r="T32" i="1" s="1"/>
  <c r="G31" i="1"/>
  <c r="T31" i="1" s="1"/>
  <c r="G30" i="1"/>
  <c r="T30" i="1" s="1"/>
  <c r="G29" i="1"/>
  <c r="T29" i="1" s="1"/>
  <c r="G28" i="1"/>
  <c r="T28" i="1" s="1"/>
  <c r="G27" i="1"/>
  <c r="T27" i="1" s="1"/>
  <c r="G25" i="1"/>
  <c r="T25" i="1" s="1"/>
  <c r="G24" i="1"/>
  <c r="T24" i="1" s="1"/>
  <c r="G23" i="1"/>
  <c r="T23" i="1" s="1"/>
  <c r="G22" i="1"/>
  <c r="T22" i="1" s="1"/>
  <c r="G21" i="1"/>
  <c r="T21" i="1" s="1"/>
  <c r="G20" i="1"/>
  <c r="T17" i="1" s="1"/>
  <c r="G16" i="1"/>
  <c r="T16" i="1" s="1"/>
  <c r="G15" i="1"/>
  <c r="T15" i="1" s="1"/>
  <c r="G14" i="1"/>
  <c r="T14" i="1" s="1"/>
  <c r="G13" i="1"/>
  <c r="T13" i="1" s="1"/>
  <c r="G10" i="1"/>
  <c r="T10" i="1" s="1"/>
  <c r="G9" i="1"/>
  <c r="T9" i="1" s="1"/>
  <c r="G7" i="1"/>
  <c r="T7" i="1" s="1"/>
  <c r="G5" i="1"/>
  <c r="T5" i="1" s="1"/>
  <c r="G4" i="1"/>
  <c r="T4" i="1" s="1"/>
  <c r="G3" i="1"/>
  <c r="T3" i="1" s="1"/>
  <c r="AC75" i="1" l="1"/>
  <c r="C78" i="1"/>
  <c r="B78" i="1"/>
  <c r="Q77" i="1"/>
  <c r="N77" i="1"/>
  <c r="M77" i="1"/>
  <c r="H77" i="1"/>
  <c r="G77" i="1"/>
  <c r="F77" i="1"/>
  <c r="F78" i="1" s="1"/>
  <c r="E77" i="1"/>
  <c r="D77" i="1"/>
  <c r="C77" i="1"/>
  <c r="B77" i="1"/>
  <c r="Q76" i="1"/>
  <c r="P76" i="1"/>
  <c r="O76" i="1"/>
  <c r="N76" i="1"/>
  <c r="M76" i="1"/>
  <c r="L76" i="1"/>
  <c r="K76" i="1"/>
  <c r="J76" i="1"/>
  <c r="I76" i="1"/>
  <c r="H76" i="1"/>
  <c r="F76" i="1"/>
  <c r="E76" i="1"/>
  <c r="D76" i="1"/>
  <c r="C76" i="1"/>
  <c r="B76" i="1"/>
  <c r="V4" i="1" l="1"/>
  <c r="V72" i="1"/>
  <c r="V67" i="1"/>
  <c r="V56" i="1"/>
  <c r="V52" i="1"/>
  <c r="V48" i="1"/>
  <c r="AD48" i="1" s="1"/>
  <c r="V36" i="1"/>
  <c r="AD36" i="1" s="1"/>
  <c r="V17" i="1"/>
  <c r="AD17" i="1" s="1"/>
  <c r="G76" i="1" l="1"/>
  <c r="AD3" i="1" l="1"/>
  <c r="K77" i="1"/>
  <c r="J77" i="1"/>
  <c r="L77" i="1"/>
  <c r="O77" i="1"/>
  <c r="P77" i="1"/>
  <c r="E78" i="1" l="1"/>
  <c r="V74" i="1"/>
  <c r="V73" i="1"/>
  <c r="V71" i="1"/>
  <c r="V70" i="1"/>
  <c r="V69" i="1"/>
  <c r="V68" i="1"/>
  <c r="V66" i="1"/>
  <c r="V64" i="1"/>
  <c r="V62" i="1"/>
  <c r="V61" i="1"/>
  <c r="V60" i="1"/>
  <c r="V59" i="1"/>
  <c r="V58" i="1"/>
  <c r="V57" i="1"/>
  <c r="V55" i="1"/>
  <c r="AD55" i="1" s="1"/>
  <c r="V54" i="1"/>
  <c r="V53" i="1"/>
  <c r="V51" i="1"/>
  <c r="V49" i="1"/>
  <c r="V47" i="1"/>
  <c r="V46" i="1"/>
  <c r="V45" i="1"/>
  <c r="V44" i="1"/>
  <c r="V43" i="1"/>
  <c r="V42" i="1"/>
  <c r="V41" i="1"/>
  <c r="V40" i="1"/>
  <c r="V39" i="1"/>
  <c r="V38" i="1"/>
  <c r="AD38" i="1" s="1"/>
  <c r="V37" i="1"/>
  <c r="V34" i="1"/>
  <c r="AD34" i="1" s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16" i="1"/>
  <c r="V15" i="1"/>
  <c r="V14" i="1"/>
  <c r="V13" i="1"/>
  <c r="V12" i="1"/>
  <c r="V10" i="1"/>
  <c r="V9" i="1"/>
  <c r="AD9" i="1" s="1"/>
  <c r="V8" i="1"/>
  <c r="V7" i="1"/>
  <c r="V6" i="1"/>
  <c r="AD6" i="1" s="1"/>
  <c r="V5" i="1"/>
  <c r="V75" i="1" s="1"/>
  <c r="AD73" i="1" l="1"/>
  <c r="I77" i="1" l="1"/>
  <c r="AD74" i="1"/>
  <c r="AD71" i="1"/>
  <c r="AD70" i="1"/>
  <c r="AD69" i="1"/>
  <c r="AD68" i="1"/>
  <c r="AD66" i="1"/>
  <c r="AD59" i="1"/>
  <c r="AD57" i="1"/>
  <c r="AD54" i="1"/>
  <c r="AD53" i="1"/>
  <c r="AD51" i="1"/>
  <c r="AD47" i="1"/>
  <c r="AD46" i="1"/>
  <c r="AD44" i="1"/>
  <c r="AD43" i="1"/>
  <c r="AD42" i="1"/>
  <c r="AD41" i="1"/>
  <c r="AD40" i="1"/>
  <c r="AD39" i="1"/>
  <c r="AD37" i="1"/>
  <c r="AD31" i="1"/>
  <c r="AD30" i="1"/>
  <c r="AD28" i="1"/>
  <c r="AD26" i="1"/>
  <c r="AD25" i="1"/>
  <c r="AD22" i="1"/>
  <c r="AD16" i="1"/>
  <c r="AD14" i="1"/>
  <c r="AD13" i="1"/>
  <c r="AD12" i="1"/>
  <c r="AD10" i="1"/>
  <c r="AD8" i="1"/>
  <c r="AD7" i="1"/>
  <c r="AD5" i="1"/>
  <c r="AD4" i="1"/>
  <c r="D78" i="1" l="1"/>
  <c r="G78" i="1" s="1"/>
  <c r="AD49" i="1"/>
  <c r="AD64" i="1" l="1"/>
  <c r="AD62" i="1"/>
  <c r="AD61" i="1"/>
  <c r="AD60" i="1"/>
  <c r="AD58" i="1"/>
  <c r="AD45" i="1"/>
  <c r="AD29" i="1"/>
  <c r="AD27" i="1"/>
  <c r="AD24" i="1"/>
  <c r="AD23" i="1"/>
  <c r="AD21" i="1"/>
  <c r="AD15" i="1" l="1"/>
  <c r="AD75" i="1" s="1"/>
  <c r="D87" i="1" l="1"/>
</calcChain>
</file>

<file path=xl/sharedStrings.xml><?xml version="1.0" encoding="utf-8"?>
<sst xmlns="http://schemas.openxmlformats.org/spreadsheetml/2006/main" count="329" uniqueCount="158">
  <si>
    <t>CITOMETRO GALLIOS (EDIFICIO 15)</t>
  </si>
  <si>
    <t>CITOFLEX (EDIFICIO 15)</t>
  </si>
  <si>
    <t>CELL SORTER FACS ARIA (EDIFICIO 15)</t>
  </si>
  <si>
    <t>CELL SORTER FACS ARIA (EDIFICIO 1)</t>
  </si>
  <si>
    <t>ASTRIOS (EDIFICIO 15)</t>
  </si>
  <si>
    <t>CITOMETRI FACS CANTO + LSR II (EDIFICIO 1)</t>
  </si>
  <si>
    <t>MATERIALE DI CONSUMO (COLORANTI VITALI, FILTRI, ECC)</t>
  </si>
  <si>
    <t>TOT TEMPO/UTENTE Edifici 1+15 (GALLIOS + FACS ARIA + FACS CANTO + LSRII + CITOFLEX + ASTRIOS)</t>
  </si>
  <si>
    <t xml:space="preserve">TOT TEMPO/UTENTE Edifici 1+15 (GALLIOS + FACS ARIA + FACS CANTO + LSRII + CITOFLEX + ASTRIOS)       </t>
  </si>
  <si>
    <r>
      <t xml:space="preserve">CONTRIBUTO PREVISTO/        UTENTE                     (COSTO CONSUMO MATERIALE             </t>
    </r>
    <r>
      <rPr>
        <b/>
        <sz val="11"/>
        <color theme="1"/>
        <rFont val="Calibri"/>
        <family val="2"/>
      </rPr>
      <t xml:space="preserve">~ </t>
    </r>
    <r>
      <rPr>
        <b/>
        <sz val="11"/>
        <color theme="1"/>
        <rFont val="Calibri"/>
        <family val="2"/>
        <scheme val="minor"/>
      </rPr>
      <t>6 €/h)</t>
    </r>
  </si>
  <si>
    <t>CONTRIBUTO IN KIND/UTENTI/2015-2019</t>
  </si>
  <si>
    <t>CREDITO/DEBITO  UTENTI</t>
  </si>
  <si>
    <t>Utente</t>
  </si>
  <si>
    <t>Tempo macchina Sett 2014 - Dic 2015</t>
  </si>
  <si>
    <t>Tempo macchina Gen-Dic 2016</t>
  </si>
  <si>
    <t>Tempo macchina Gen-Dic 2017</t>
  </si>
  <si>
    <t>Tempo macchina Gen-Dic 2018</t>
  </si>
  <si>
    <t>Tempo macchina Gen-Giu 2019</t>
  </si>
  <si>
    <t>Tempo macchina 2014-2019</t>
  </si>
  <si>
    <t>ANNO 2019 (NON CONTEGGIATO FINO A GIUGNO)</t>
  </si>
  <si>
    <t>Tempo macchina                          Set 2014 - Giu 2019                        ORE</t>
  </si>
  <si>
    <t>Tempo macchina                          Set 2014 - Giu 2019                        UNITA'</t>
  </si>
  <si>
    <t>Tempo macchina Set 2014 - Giu 2019   COSTO €</t>
  </si>
  <si>
    <t>Ordinato 2014- 2015 (€)</t>
  </si>
  <si>
    <t>Ordinato 2016 (€)</t>
  </si>
  <si>
    <t>Ordinato 2017 (€)</t>
  </si>
  <si>
    <t>Ordinato 2018 (€)</t>
  </si>
  <si>
    <t>Ordinato 2019 (€)</t>
  </si>
  <si>
    <t>NOTE</t>
  </si>
  <si>
    <t>Tot ordinato                      2014-19 €</t>
  </si>
  <si>
    <t>Core Facility (Allineamento, corsi, Ass Tecnica, PROGETTI)</t>
  </si>
  <si>
    <t>Core Facility (Allineamento, corsi, Assistenza Tecnica, PROGETTI)</t>
  </si>
  <si>
    <t>Core Facility (Allineamento, corsi, Ass Tecnica)</t>
  </si>
  <si>
    <t>Barnaba (Policlinico)</t>
  </si>
  <si>
    <t>Pierandrei (Policlinico)</t>
  </si>
  <si>
    <t>Venneri (Policlinico)</t>
  </si>
  <si>
    <t>Sangiuolo (Tor Vergata)</t>
  </si>
  <si>
    <t>Scioli (Tor Vergata)</t>
  </si>
  <si>
    <t>Campisi/Carella (Ist Assunzione M Santissima)</t>
  </si>
  <si>
    <t>Campisi (Istituto Assunzione Maria Santissima)</t>
  </si>
  <si>
    <t>Campisi (Ist Assunzione M Santissima)</t>
  </si>
  <si>
    <t>Capparelli (UniNa)</t>
  </si>
  <si>
    <t xml:space="preserve">Antigoli </t>
  </si>
  <si>
    <t>Accardi</t>
  </si>
  <si>
    <t>Andreoli</t>
  </si>
  <si>
    <t>Andreotti/Michelini/Mallano</t>
  </si>
  <si>
    <t xml:space="preserve">Baccarini </t>
  </si>
  <si>
    <t>Biffoni/Antonacci</t>
  </si>
  <si>
    <t>Biffoni/Dattilo</t>
  </si>
  <si>
    <t>Biffoni/Pedini</t>
  </si>
  <si>
    <t>Biffoni/Petrucci</t>
  </si>
  <si>
    <t>Boirivant/Amendola/Butera</t>
  </si>
  <si>
    <t>Bonci</t>
  </si>
  <si>
    <t>Bracci/Macchia</t>
  </si>
  <si>
    <t xml:space="preserve">Buttari </t>
  </si>
  <si>
    <t>Canitano/Cara</t>
  </si>
  <si>
    <t>Carè</t>
  </si>
  <si>
    <t>Coccia/Severa/Rizzo</t>
  </si>
  <si>
    <t>Corinti</t>
  </si>
  <si>
    <t xml:space="preserve">D’Ambrosio </t>
  </si>
  <si>
    <t>Di Biase</t>
  </si>
  <si>
    <t>Eramo/Sette</t>
  </si>
  <si>
    <t>Fedele/Schiavoni</t>
  </si>
  <si>
    <t>Ferrantelli/Olivetta/Arenaccio/Chiozzini</t>
  </si>
  <si>
    <t>Ferrantelli/Olivetta</t>
  </si>
  <si>
    <t>Fiori/Luongo/Sara Vitale/Pagliuca/Careccia/Villanova</t>
  </si>
  <si>
    <t>Fiori/Luongo/S. Vitale/Pagliuca/Careccia/Villanova</t>
  </si>
  <si>
    <t>Haas/Coppola/Sciuto/Ponterio</t>
  </si>
  <si>
    <t>Facchiano</t>
  </si>
  <si>
    <t>Flex</t>
  </si>
  <si>
    <t>Frasca/Palazzo/Lande</t>
  </si>
  <si>
    <t>Frasca/Palazzo</t>
  </si>
  <si>
    <t>Frasca/Lande/Palazzo</t>
  </si>
  <si>
    <t>Gagliardi/Fecchi/Peruzzo</t>
  </si>
  <si>
    <t xml:space="preserve">Giordani </t>
  </si>
  <si>
    <t>Guerriero</t>
  </si>
  <si>
    <t>Labbaye/Saulle</t>
  </si>
  <si>
    <t>Lugini/Federici</t>
  </si>
  <si>
    <t xml:space="preserve">Marcon/Leopardi </t>
  </si>
  <si>
    <t xml:space="preserve">Martelli </t>
  </si>
  <si>
    <t>Matarrese</t>
  </si>
  <si>
    <t>Matarrese (MEGE)</t>
  </si>
  <si>
    <t>Mattia/Puglisi</t>
  </si>
  <si>
    <t>Mattia</t>
  </si>
  <si>
    <t>Mizzoni/Fais</t>
  </si>
  <si>
    <t>Nisini/Mariotti</t>
  </si>
  <si>
    <t>Nisini/Mariotti/Tirelli</t>
  </si>
  <si>
    <t xml:space="preserve">Nisini/Tirelli </t>
  </si>
  <si>
    <t xml:space="preserve">Olivieri/Paone/Tirelli </t>
  </si>
  <si>
    <t xml:space="preserve">Olivieri/Tirelli </t>
  </si>
  <si>
    <t>€ 581,74 DISPONIBILI SU 3V-CHIMICA</t>
  </si>
  <si>
    <t>Messina/Tirelli</t>
  </si>
  <si>
    <t>Pelosi/Castelli</t>
  </si>
  <si>
    <t>Pichierri/Marabitti</t>
  </si>
  <si>
    <t>30X FILTRI</t>
  </si>
  <si>
    <t>Ponzi/Pace/Grasso/Tirelli</t>
  </si>
  <si>
    <t>Ponzi/Pace/Grasso</t>
  </si>
  <si>
    <t>STIMATO VALORE PC</t>
  </si>
  <si>
    <t>Rainaldi</t>
  </si>
  <si>
    <t>Remoli</t>
  </si>
  <si>
    <t>Ricci Vitiani/Buccarelli/Pedini</t>
  </si>
  <si>
    <t>Riccomi/Vendetti</t>
  </si>
  <si>
    <t>Romagnoli/Fragale</t>
  </si>
  <si>
    <t>Santini</t>
  </si>
  <si>
    <t>Santini (EOMM)</t>
  </si>
  <si>
    <t>Sargiacomo *</t>
  </si>
  <si>
    <t>Schiavoni</t>
  </si>
  <si>
    <t xml:space="preserve">Schiavoni </t>
  </si>
  <si>
    <t>Schiavoni (EOMM)</t>
  </si>
  <si>
    <t>Schiavoni/Ponzi</t>
  </si>
  <si>
    <t>Parolini/Zanetti (Schiavoni)</t>
  </si>
  <si>
    <t>Pietraforte/La Viola (FAST/SCIC)</t>
  </si>
  <si>
    <t>Sgarbanti</t>
  </si>
  <si>
    <t>Sgarbanti (DMI)</t>
  </si>
  <si>
    <t>Siciliano</t>
  </si>
  <si>
    <t xml:space="preserve">Stellacci </t>
  </si>
  <si>
    <t>Stellacci (EOMM)</t>
  </si>
  <si>
    <t>Urbani/Macchia</t>
  </si>
  <si>
    <t>Valtieri</t>
  </si>
  <si>
    <t>Vitale/Manic/Sistigu/Signore (OMM/Biobanca/FAST)</t>
  </si>
  <si>
    <t>Vitale/Manic/Sistigu/Signore (Biobanca/OMM/FAST)</t>
  </si>
  <si>
    <t>Vitale/Signore (Biobanca/OMM/FAST)</t>
  </si>
  <si>
    <t>Zeuner</t>
  </si>
  <si>
    <t>TOT USCITE=</t>
  </si>
  <si>
    <t xml:space="preserve">TOT ENTRATE = </t>
  </si>
  <si>
    <t>BALANCE ENTRATE - USCITE</t>
  </si>
  <si>
    <t>TEMPO MACCHINA TOT (h)/year</t>
  </si>
  <si>
    <t>TOT SPESO (6€*h)/year/GALLIOS + LSRII + SORTING</t>
  </si>
  <si>
    <t>TOT SPESO (6€*h)/year/CITOMETRIA</t>
  </si>
  <si>
    <t>Tempo macchina Set 2014-Giu 2019</t>
  </si>
  <si>
    <t>CITOFLEX (Ed 15)</t>
  </si>
  <si>
    <t>ASTRIOS</t>
  </si>
  <si>
    <t>TOT TEMPO/UTENTE Edifici 1+15 (GALLIOS + FACS ARIA + FACS CANTO + LSRII)</t>
  </si>
  <si>
    <t>TOT TEMPO/UTENTE Edifici 1+15 (GALLIOS + FACS ARIA + FACS CANTO + LSRII)       UNITA'</t>
  </si>
  <si>
    <t>*SARGIACOMO (TEMPO MACCHINA UTENTI GEN 2018 - APR 2018)</t>
  </si>
  <si>
    <t>*SARGIACOMO (TEMPO MACCHINA 2017/UTENTI)</t>
  </si>
  <si>
    <t>Boussadia</t>
  </si>
  <si>
    <t>Fecchi</t>
  </si>
  <si>
    <t>Parolini</t>
  </si>
  <si>
    <t>Zanetti</t>
  </si>
  <si>
    <t>TOTALE</t>
  </si>
  <si>
    <t xml:space="preserve">                 CONVERSIONE TEMPO (h   min) in UNITA'</t>
  </si>
  <si>
    <t xml:space="preserve">5' = </t>
  </si>
  <si>
    <t xml:space="preserve">10' = </t>
  </si>
  <si>
    <t xml:space="preserve">15' = </t>
  </si>
  <si>
    <t xml:space="preserve">20' = </t>
  </si>
  <si>
    <t xml:space="preserve">25' = </t>
  </si>
  <si>
    <t xml:space="preserve">30' = </t>
  </si>
  <si>
    <t xml:space="preserve">35' = </t>
  </si>
  <si>
    <t xml:space="preserve">40' = </t>
  </si>
  <si>
    <t xml:space="preserve">45' = </t>
  </si>
  <si>
    <t xml:space="preserve">50' = </t>
  </si>
  <si>
    <t xml:space="preserve">55' = </t>
  </si>
  <si>
    <t xml:space="preserve">60' = </t>
  </si>
  <si>
    <t xml:space="preserve">                USCITE</t>
  </si>
  <si>
    <t>ENTRATE</t>
  </si>
  <si>
    <t>ordinato Isoflow, puraflow, CFSE</t>
  </si>
  <si>
    <t>arrivato Isoflow/CFSE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</si>
</sst>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A3B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AD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Border="1"/>
    <xf numFmtId="46" fontId="3" fillId="0" borderId="0" xfId="0" applyNumberFormat="1" applyFont="1" applyBorder="1" applyAlignment="1">
      <alignment horizontal="center" vertical="center" wrapText="1"/>
    </xf>
    <xf numFmtId="21" fontId="3" fillId="0" borderId="0" xfId="0" applyNumberFormat="1" applyFont="1" applyBorder="1" applyAlignment="1">
      <alignment horizontal="center" vertical="center" wrapText="1"/>
    </xf>
    <xf numFmtId="46" fontId="0" fillId="0" borderId="0" xfId="0" applyNumberFormat="1" applyBorder="1" applyAlignment="1">
      <alignment horizontal="center"/>
    </xf>
    <xf numFmtId="0" fontId="1" fillId="0" borderId="0" xfId="0" applyFont="1" applyBorder="1"/>
    <xf numFmtId="46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6" fontId="3" fillId="0" borderId="4" xfId="0" applyNumberFormat="1" applyFont="1" applyBorder="1" applyAlignment="1">
      <alignment horizontal="center" vertical="center" wrapText="1"/>
    </xf>
    <xf numFmtId="46" fontId="3" fillId="0" borderId="1" xfId="0" applyNumberFormat="1" applyFont="1" applyBorder="1" applyAlignment="1">
      <alignment horizontal="center" vertical="center" wrapText="1"/>
    </xf>
    <xf numFmtId="46" fontId="3" fillId="0" borderId="1" xfId="0" applyNumberFormat="1" applyFont="1" applyFill="1" applyBorder="1" applyAlignment="1">
      <alignment horizontal="center" vertical="center" wrapText="1"/>
    </xf>
    <xf numFmtId="46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/>
    <xf numFmtId="46" fontId="4" fillId="0" borderId="0" xfId="0" applyNumberFormat="1" applyFont="1" applyBorder="1" applyAlignment="1">
      <alignment horizontal="center"/>
    </xf>
    <xf numFmtId="20" fontId="4" fillId="0" borderId="0" xfId="0" applyNumberFormat="1" applyFont="1" applyBorder="1"/>
    <xf numFmtId="0" fontId="5" fillId="0" borderId="0" xfId="0" applyFont="1" applyBorder="1"/>
    <xf numFmtId="0" fontId="4" fillId="0" borderId="9" xfId="0" applyFont="1" applyBorder="1"/>
    <xf numFmtId="46" fontId="4" fillId="0" borderId="9" xfId="0" applyNumberFormat="1" applyFont="1" applyBorder="1" applyAlignment="1">
      <alignment horizontal="center"/>
    </xf>
    <xf numFmtId="20" fontId="4" fillId="0" borderId="9" xfId="0" applyNumberFormat="1" applyFont="1" applyBorder="1"/>
    <xf numFmtId="0" fontId="0" fillId="0" borderId="0" xfId="0" applyFill="1" applyBorder="1"/>
    <xf numFmtId="0" fontId="3" fillId="0" borderId="9" xfId="0" applyFont="1" applyFill="1" applyBorder="1" applyAlignment="1">
      <alignment vertical="center" wrapText="1"/>
    </xf>
    <xf numFmtId="46" fontId="0" fillId="0" borderId="9" xfId="0" applyNumberFormat="1" applyBorder="1" applyAlignment="1">
      <alignment horizontal="center"/>
    </xf>
    <xf numFmtId="0" fontId="0" fillId="0" borderId="9" xfId="0" applyBorder="1"/>
    <xf numFmtId="0" fontId="4" fillId="0" borderId="17" xfId="0" applyFont="1" applyBorder="1"/>
    <xf numFmtId="46" fontId="4" fillId="0" borderId="17" xfId="0" applyNumberFormat="1" applyFont="1" applyBorder="1" applyAlignment="1">
      <alignment horizontal="center"/>
    </xf>
    <xf numFmtId="46" fontId="4" fillId="0" borderId="17" xfId="0" applyNumberFormat="1" applyFont="1" applyBorder="1" applyAlignment="1">
      <alignment horizontal="right"/>
    </xf>
    <xf numFmtId="2" fontId="1" fillId="0" borderId="0" xfId="0" applyNumberFormat="1" applyFont="1" applyBorder="1"/>
    <xf numFmtId="2" fontId="5" fillId="0" borderId="0" xfId="0" applyNumberFormat="1" applyFont="1" applyBorder="1"/>
    <xf numFmtId="46" fontId="2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6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3" fillId="8" borderId="15" xfId="0" applyFont="1" applyFill="1" applyBorder="1" applyAlignment="1">
      <alignment vertical="center" wrapText="1"/>
    </xf>
    <xf numFmtId="2" fontId="10" fillId="0" borderId="0" xfId="0" applyNumberFormat="1" applyFont="1" applyBorder="1" applyAlignment="1">
      <alignment horizontal="center"/>
    </xf>
    <xf numFmtId="0" fontId="0" fillId="0" borderId="6" xfId="0" applyBorder="1"/>
    <xf numFmtId="46" fontId="0" fillId="0" borderId="7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1" fillId="0" borderId="8" xfId="0" applyNumberFormat="1" applyFont="1" applyBorder="1" applyAlignment="1">
      <alignment horizontal="right"/>
    </xf>
    <xf numFmtId="2" fontId="8" fillId="5" borderId="8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2" fontId="1" fillId="0" borderId="13" xfId="0" applyNumberFormat="1" applyFont="1" applyBorder="1"/>
    <xf numFmtId="0" fontId="1" fillId="0" borderId="1" xfId="0" applyFont="1" applyBorder="1" applyAlignment="1">
      <alignment horizontal="right"/>
    </xf>
    <xf numFmtId="2" fontId="1" fillId="0" borderId="2" xfId="0" applyNumberFormat="1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2" fontId="1" fillId="0" borderId="5" xfId="0" applyNumberFormat="1" applyFont="1" applyBorder="1"/>
    <xf numFmtId="0" fontId="1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46" fontId="4" fillId="0" borderId="0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10" borderId="1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0" xfId="0" applyFont="1" applyBorder="1"/>
    <xf numFmtId="0" fontId="1" fillId="0" borderId="6" xfId="0" applyFont="1" applyBorder="1" applyAlignment="1">
      <alignment horizontal="center" vertical="center" wrapText="1"/>
    </xf>
    <xf numFmtId="46" fontId="1" fillId="0" borderId="6" xfId="0" applyNumberFormat="1" applyFont="1" applyBorder="1" applyAlignment="1">
      <alignment horizontal="center" vertical="center" wrapText="1"/>
    </xf>
    <xf numFmtId="46" fontId="1" fillId="0" borderId="7" xfId="0" applyNumberFormat="1" applyFont="1" applyBorder="1" applyAlignment="1">
      <alignment horizontal="center" vertical="center" wrapText="1"/>
    </xf>
    <xf numFmtId="46" fontId="1" fillId="0" borderId="8" xfId="0" applyNumberFormat="1" applyFont="1" applyBorder="1" applyAlignment="1">
      <alignment horizontal="center" vertical="center" wrapText="1"/>
    </xf>
    <xf numFmtId="46" fontId="1" fillId="0" borderId="4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6" fontId="3" fillId="0" borderId="11" xfId="0" applyNumberFormat="1" applyFont="1" applyBorder="1" applyAlignment="1">
      <alignment horizontal="center" vertical="center" wrapText="1"/>
    </xf>
    <xf numFmtId="46" fontId="3" fillId="0" borderId="12" xfId="0" applyNumberFormat="1" applyFont="1" applyBorder="1" applyAlignment="1">
      <alignment horizontal="center" vertical="center" wrapText="1"/>
    </xf>
    <xf numFmtId="46" fontId="2" fillId="0" borderId="13" xfId="0" applyNumberFormat="1" applyFont="1" applyBorder="1" applyAlignment="1">
      <alignment horizontal="center"/>
    </xf>
    <xf numFmtId="0" fontId="8" fillId="0" borderId="14" xfId="0" applyNumberFormat="1" applyFont="1" applyFill="1" applyBorder="1" applyAlignment="1">
      <alignment horizontal="center"/>
    </xf>
    <xf numFmtId="0" fontId="3" fillId="6" borderId="1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46" fontId="2" fillId="0" borderId="0" xfId="0" applyNumberFormat="1" applyFont="1" applyFill="1" applyBorder="1" applyAlignment="1">
      <alignment horizontal="center"/>
    </xf>
    <xf numFmtId="46" fontId="2" fillId="0" borderId="4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right"/>
    </xf>
    <xf numFmtId="2" fontId="13" fillId="0" borderId="1" xfId="0" applyNumberFormat="1" applyFont="1" applyFill="1" applyBorder="1" applyAlignment="1">
      <alignment vertical="center" wrapText="1"/>
    </xf>
    <xf numFmtId="2" fontId="13" fillId="0" borderId="0" xfId="0" applyNumberFormat="1" applyFont="1" applyBorder="1" applyAlignment="1">
      <alignment horizontal="center"/>
    </xf>
    <xf numFmtId="2" fontId="13" fillId="0" borderId="0" xfId="0" applyNumberFormat="1" applyFont="1" applyBorder="1"/>
    <xf numFmtId="2" fontId="13" fillId="0" borderId="0" xfId="0" applyNumberFormat="1" applyFont="1" applyBorder="1" applyAlignment="1">
      <alignment horizontal="right"/>
    </xf>
    <xf numFmtId="2" fontId="8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/>
    <xf numFmtId="46" fontId="1" fillId="0" borderId="6" xfId="0" applyNumberFormat="1" applyFont="1" applyFill="1" applyBorder="1" applyAlignment="1">
      <alignment horizontal="center" vertical="center" wrapText="1"/>
    </xf>
    <xf numFmtId="46" fontId="1" fillId="0" borderId="7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0" fillId="0" borderId="2" xfId="0" applyBorder="1"/>
    <xf numFmtId="2" fontId="2" fillId="9" borderId="7" xfId="0" applyNumberFormat="1" applyFont="1" applyFill="1" applyBorder="1" applyAlignment="1">
      <alignment horizontal="center"/>
    </xf>
    <xf numFmtId="0" fontId="9" fillId="0" borderId="1" xfId="0" applyFont="1" applyBorder="1"/>
    <xf numFmtId="2" fontId="10" fillId="4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1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0" fillId="0" borderId="15" xfId="0" applyBorder="1"/>
    <xf numFmtId="0" fontId="1" fillId="4" borderId="10" xfId="0" applyFont="1" applyFill="1" applyBorder="1"/>
    <xf numFmtId="46" fontId="0" fillId="0" borderId="1" xfId="0" applyNumberFormat="1" applyBorder="1" applyAlignment="1">
      <alignment horizontal="center"/>
    </xf>
    <xf numFmtId="0" fontId="1" fillId="0" borderId="2" xfId="0" applyFont="1" applyBorder="1"/>
    <xf numFmtId="46" fontId="2" fillId="0" borderId="0" xfId="0" applyNumberFormat="1" applyFont="1" applyBorder="1" applyAlignment="1">
      <alignment horizontal="center"/>
    </xf>
    <xf numFmtId="46" fontId="2" fillId="0" borderId="4" xfId="0" applyNumberFormat="1" applyFont="1" applyBorder="1" applyAlignment="1">
      <alignment horizontal="center"/>
    </xf>
    <xf numFmtId="0" fontId="1" fillId="0" borderId="1" xfId="0" applyFont="1" applyBorder="1"/>
    <xf numFmtId="46" fontId="2" fillId="0" borderId="12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2" fontId="1" fillId="0" borderId="15" xfId="0" applyNumberFormat="1" applyFont="1" applyBorder="1"/>
    <xf numFmtId="2" fontId="2" fillId="0" borderId="16" xfId="0" applyNumberFormat="1" applyFont="1" applyFill="1" applyBorder="1" applyAlignment="1">
      <alignment horizontal="center"/>
    </xf>
    <xf numFmtId="2" fontId="8" fillId="0" borderId="16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9" fillId="0" borderId="15" xfId="0" applyFont="1" applyBorder="1"/>
    <xf numFmtId="46" fontId="2" fillId="0" borderId="1" xfId="0" applyNumberFormat="1" applyFont="1" applyBorder="1" applyAlignment="1">
      <alignment horizontal="center"/>
    </xf>
    <xf numFmtId="46" fontId="2" fillId="0" borderId="1" xfId="0" applyNumberFormat="1" applyFont="1" applyFill="1" applyBorder="1" applyAlignment="1">
      <alignment horizontal="center"/>
    </xf>
    <xf numFmtId="46" fontId="2" fillId="0" borderId="3" xfId="0" applyNumberFormat="1" applyFont="1" applyBorder="1" applyAlignment="1">
      <alignment horizontal="center"/>
    </xf>
    <xf numFmtId="46" fontId="2" fillId="0" borderId="11" xfId="0" applyNumberFormat="1" applyFont="1" applyFill="1" applyBorder="1" applyAlignment="1">
      <alignment horizontal="center"/>
    </xf>
    <xf numFmtId="46" fontId="2" fillId="0" borderId="3" xfId="0" applyNumberFormat="1" applyFont="1" applyFill="1" applyBorder="1" applyAlignment="1">
      <alignment horizontal="center"/>
    </xf>
    <xf numFmtId="46" fontId="2" fillId="0" borderId="2" xfId="0" applyNumberFormat="1" applyFont="1" applyFill="1" applyBorder="1" applyAlignment="1">
      <alignment horizontal="center"/>
    </xf>
    <xf numFmtId="46" fontId="2" fillId="0" borderId="5" xfId="0" applyNumberFormat="1" applyFont="1" applyFill="1" applyBorder="1" applyAlignment="1">
      <alignment horizontal="center"/>
    </xf>
    <xf numFmtId="46" fontId="1" fillId="0" borderId="10" xfId="0" applyNumberFormat="1" applyFont="1" applyBorder="1" applyAlignment="1">
      <alignment horizontal="center" vertical="center" wrapText="1"/>
    </xf>
    <xf numFmtId="46" fontId="2" fillId="0" borderId="15" xfId="0" applyNumberFormat="1" applyFont="1" applyFill="1" applyBorder="1" applyAlignment="1">
      <alignment horizontal="center"/>
    </xf>
    <xf numFmtId="0" fontId="1" fillId="0" borderId="15" xfId="0" applyFont="1" applyBorder="1"/>
    <xf numFmtId="46" fontId="2" fillId="0" borderId="16" xfId="0" applyNumberFormat="1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 vertical="center" wrapText="1"/>
    </xf>
    <xf numFmtId="46" fontId="1" fillId="12" borderId="10" xfId="0" applyNumberFormat="1" applyFont="1" applyFill="1" applyBorder="1" applyAlignment="1">
      <alignment horizontal="center" vertical="center"/>
    </xf>
    <xf numFmtId="46" fontId="2" fillId="0" borderId="14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1" fillId="0" borderId="10" xfId="0" applyFont="1" applyBorder="1"/>
    <xf numFmtId="0" fontId="1" fillId="14" borderId="14" xfId="0" applyFont="1" applyFill="1" applyBorder="1" applyAlignment="1">
      <alignment horizontal="center" vertical="center" wrapText="1"/>
    </xf>
    <xf numFmtId="0" fontId="0" fillId="0" borderId="3" xfId="0" applyFont="1" applyBorder="1"/>
    <xf numFmtId="0" fontId="1" fillId="9" borderId="10" xfId="0" applyFont="1" applyFill="1" applyBorder="1" applyAlignment="1">
      <alignment horizontal="center" vertical="center" wrapText="1"/>
    </xf>
    <xf numFmtId="0" fontId="0" fillId="0" borderId="4" xfId="0" applyFont="1" applyBorder="1"/>
    <xf numFmtId="0" fontId="1" fillId="14" borderId="10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2" fontId="9" fillId="17" borderId="1" xfId="0" applyNumberFormat="1" applyFont="1" applyFill="1" applyBorder="1" applyAlignment="1">
      <alignment horizontal="center"/>
    </xf>
    <xf numFmtId="0" fontId="3" fillId="17" borderId="15" xfId="0" applyFont="1" applyFill="1" applyBorder="1" applyAlignment="1">
      <alignment vertical="center" wrapText="1"/>
    </xf>
    <xf numFmtId="0" fontId="3" fillId="13" borderId="0" xfId="0" applyFont="1" applyFill="1" applyBorder="1" applyAlignment="1">
      <alignment horizontal="center"/>
    </xf>
    <xf numFmtId="0" fontId="10" fillId="13" borderId="11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2" fontId="1" fillId="16" borderId="7" xfId="0" applyNumberFormat="1" applyFont="1" applyFill="1" applyBorder="1" applyAlignment="1">
      <alignment horizontal="center" vertical="center" wrapText="1"/>
    </xf>
    <xf numFmtId="2" fontId="1" fillId="16" borderId="6" xfId="0" applyNumberFormat="1" applyFont="1" applyFill="1" applyBorder="1" applyAlignment="1">
      <alignment horizontal="center" vertical="center" wrapText="1"/>
    </xf>
    <xf numFmtId="2" fontId="1" fillId="16" borderId="8" xfId="0" applyNumberFormat="1" applyFont="1" applyFill="1" applyBorder="1" applyAlignment="1">
      <alignment horizontal="center" vertical="center" wrapText="1"/>
    </xf>
    <xf numFmtId="46" fontId="1" fillId="3" borderId="6" xfId="0" applyNumberFormat="1" applyFont="1" applyFill="1" applyBorder="1" applyAlignment="1">
      <alignment horizontal="center" vertical="center"/>
    </xf>
    <xf numFmtId="46" fontId="1" fillId="3" borderId="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6" fontId="1" fillId="3" borderId="8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66FF"/>
      <color rgb="FF6666FF"/>
      <color rgb="FF666699"/>
      <color rgb="FF00CC00"/>
      <color rgb="FFFF8A3B"/>
      <color rgb="FFFF6600"/>
      <color rgb="FFFF5353"/>
      <color rgb="FF00E200"/>
      <color rgb="FF00CC99"/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4951881014872"/>
          <c:y val="7.4548702245552642E-2"/>
          <c:w val="0.72081802274715656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1-459C-40BF-B8D1-9B3005DFB630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459C-40BF-B8D1-9B3005DFB630}"/>
              </c:ext>
            </c:extLst>
          </c:dPt>
          <c:dLbls>
            <c:dLbl>
              <c:idx val="0"/>
              <c:layout>
                <c:manualLayout>
                  <c:x val="-4.101559491189407E-17"/>
                  <c:y val="-3.3349876973091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9C-40BF-B8D1-9B3005DFB630}"/>
                </c:ext>
              </c:extLst>
            </c:dLbl>
            <c:dLbl>
              <c:idx val="1"/>
              <c:layout>
                <c:manualLayout>
                  <c:x val="0"/>
                  <c:y val="-2.3821340695065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9C-40BF-B8D1-9B3005DFB6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('Dettaglio spese'!$V$75,'Dettaglio spese'!$AC$75)</c:f>
              <c:numCache>
                <c:formatCode>0.00</c:formatCode>
                <c:ptCount val="2"/>
                <c:pt idx="0">
                  <c:v>25632.899999999991</c:v>
                </c:pt>
                <c:pt idx="1">
                  <c:v>38121.606000000007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9C-40BF-B8D1-9B3005DFB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277008"/>
        <c:axId val="1659267760"/>
      </c:barChart>
      <c:catAx>
        <c:axId val="1659277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659267760"/>
        <c:crosses val="autoZero"/>
        <c:auto val="1"/>
        <c:lblAlgn val="ctr"/>
        <c:lblOffset val="100"/>
        <c:noMultiLvlLbl val="0"/>
      </c:catAx>
      <c:valAx>
        <c:axId val="1659267760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5927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78582</xdr:colOff>
      <xdr:row>87</xdr:row>
      <xdr:rowOff>54240</xdr:rowOff>
    </xdr:from>
    <xdr:to>
      <xdr:col>28</xdr:col>
      <xdr:colOff>368302</xdr:colOff>
      <xdr:row>100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tabSelected="1" topLeftCell="U19" zoomScale="80" zoomScaleNormal="80" workbookViewId="0">
      <selection activeCell="AE61" sqref="AE61"/>
    </sheetView>
  </sheetViews>
  <sheetFormatPr defaultRowHeight="16.5" customHeight="1" x14ac:dyDescent="0.25"/>
  <cols>
    <col min="1" max="1" width="50.85546875" style="1" customWidth="1"/>
    <col min="2" max="2" width="16.5703125" style="4" customWidth="1"/>
    <col min="3" max="3" width="15.85546875" style="4" customWidth="1"/>
    <col min="4" max="4" width="16" style="4" customWidth="1"/>
    <col min="5" max="6" width="15.42578125" style="4" customWidth="1"/>
    <col min="7" max="7" width="21.42578125" style="5" customWidth="1"/>
    <col min="8" max="8" width="22.7109375" style="5" customWidth="1"/>
    <col min="9" max="9" width="16.42578125" style="5" customWidth="1"/>
    <col min="10" max="10" width="18.28515625" style="5" customWidth="1"/>
    <col min="11" max="11" width="15.7109375" style="5" customWidth="1"/>
    <col min="12" max="18" width="16.42578125" style="5" customWidth="1"/>
    <col min="19" max="19" width="49" style="1" customWidth="1"/>
    <col min="20" max="20" width="33" style="5" customWidth="1"/>
    <col min="21" max="21" width="30.42578125" style="28" customWidth="1"/>
    <col min="22" max="22" width="21.5703125" style="28" customWidth="1"/>
    <col min="23" max="27" width="13" style="31" customWidth="1"/>
    <col min="28" max="28" width="38.42578125" style="31" customWidth="1"/>
    <col min="29" max="29" width="11.140625" style="34" customWidth="1"/>
    <col min="30" max="30" width="17.42578125" style="40" customWidth="1"/>
    <col min="31" max="31" width="47.28515625" style="1" customWidth="1"/>
    <col min="32" max="16384" width="9.140625" style="1"/>
  </cols>
  <sheetData>
    <row r="1" spans="1:31" ht="112.5" customHeight="1" thickBot="1" x14ac:dyDescent="0.3">
      <c r="A1" s="68"/>
      <c r="B1" s="172" t="s">
        <v>0</v>
      </c>
      <c r="C1" s="173"/>
      <c r="D1" s="173"/>
      <c r="E1" s="173"/>
      <c r="F1" s="173"/>
      <c r="G1" s="173"/>
      <c r="H1" s="134" t="s">
        <v>1</v>
      </c>
      <c r="I1" s="174" t="s">
        <v>2</v>
      </c>
      <c r="J1" s="175"/>
      <c r="K1" s="163" t="s">
        <v>3</v>
      </c>
      <c r="L1" s="164"/>
      <c r="M1" s="165"/>
      <c r="N1" s="133" t="s">
        <v>4</v>
      </c>
      <c r="O1" s="176" t="s">
        <v>5</v>
      </c>
      <c r="P1" s="177"/>
      <c r="Q1" s="177"/>
      <c r="R1" s="138" t="s">
        <v>6</v>
      </c>
      <c r="S1" s="68"/>
      <c r="T1" s="147" t="s">
        <v>7</v>
      </c>
      <c r="U1" s="153" t="s">
        <v>8</v>
      </c>
      <c r="V1" s="154" t="s">
        <v>9</v>
      </c>
      <c r="W1" s="169" t="s">
        <v>10</v>
      </c>
      <c r="X1" s="169"/>
      <c r="Y1" s="169"/>
      <c r="Z1" s="169"/>
      <c r="AA1" s="169"/>
      <c r="AB1" s="169"/>
      <c r="AC1" s="169"/>
      <c r="AD1" s="159" t="s">
        <v>11</v>
      </c>
      <c r="AE1" s="160"/>
    </row>
    <row r="2" spans="1:31" s="39" customFormat="1" ht="79.5" customHeight="1" thickBot="1" x14ac:dyDescent="0.3">
      <c r="A2" s="69" t="s">
        <v>12</v>
      </c>
      <c r="B2" s="70" t="s">
        <v>13</v>
      </c>
      <c r="C2" s="71" t="s">
        <v>14</v>
      </c>
      <c r="D2" s="71" t="s">
        <v>15</v>
      </c>
      <c r="E2" s="71" t="s">
        <v>16</v>
      </c>
      <c r="F2" s="71" t="s">
        <v>17</v>
      </c>
      <c r="G2" s="71" t="s">
        <v>18</v>
      </c>
      <c r="H2" s="129" t="s">
        <v>17</v>
      </c>
      <c r="I2" s="70" t="s">
        <v>15</v>
      </c>
      <c r="J2" s="71" t="s">
        <v>16</v>
      </c>
      <c r="K2" s="95" t="s">
        <v>15</v>
      </c>
      <c r="L2" s="71" t="s">
        <v>16</v>
      </c>
      <c r="M2" s="72" t="s">
        <v>17</v>
      </c>
      <c r="N2" s="129" t="s">
        <v>17</v>
      </c>
      <c r="O2" s="96" t="s">
        <v>15</v>
      </c>
      <c r="P2" s="71" t="s">
        <v>16</v>
      </c>
      <c r="Q2" s="71" t="s">
        <v>17</v>
      </c>
      <c r="R2" s="129" t="s">
        <v>19</v>
      </c>
      <c r="S2" s="80" t="s">
        <v>12</v>
      </c>
      <c r="T2" s="129" t="s">
        <v>20</v>
      </c>
      <c r="U2" s="71" t="s">
        <v>21</v>
      </c>
      <c r="V2" s="129" t="s">
        <v>22</v>
      </c>
      <c r="W2" s="73" t="s">
        <v>23</v>
      </c>
      <c r="X2" s="73" t="s">
        <v>24</v>
      </c>
      <c r="Y2" s="73" t="s">
        <v>25</v>
      </c>
      <c r="Z2" s="73" t="s">
        <v>26</v>
      </c>
      <c r="AA2" s="73" t="s">
        <v>27</v>
      </c>
      <c r="AB2" s="73" t="s">
        <v>28</v>
      </c>
      <c r="AC2" s="73" t="s">
        <v>29</v>
      </c>
      <c r="AD2" s="161"/>
      <c r="AE2" s="162"/>
    </row>
    <row r="3" spans="1:31" ht="33.75" customHeight="1" x14ac:dyDescent="0.25">
      <c r="A3" s="74" t="s">
        <v>30</v>
      </c>
      <c r="B3" s="75">
        <v>4.229166666666667</v>
      </c>
      <c r="C3" s="76">
        <v>3.1041666666666665</v>
      </c>
      <c r="D3" s="76">
        <v>4.6701388888888884</v>
      </c>
      <c r="E3" s="76">
        <v>4.6312500000000005</v>
      </c>
      <c r="F3" s="76">
        <v>1.5972222222222223</v>
      </c>
      <c r="G3" s="77">
        <f>SUM(B3:F3)</f>
        <v>18.231944444444444</v>
      </c>
      <c r="H3" s="110">
        <v>2.7777777777777776E-2</v>
      </c>
      <c r="I3" s="122">
        <v>0.15625</v>
      </c>
      <c r="J3" s="110"/>
      <c r="K3" s="125"/>
      <c r="L3" s="113"/>
      <c r="M3" s="127"/>
      <c r="N3" s="130"/>
      <c r="O3" s="81"/>
      <c r="P3" s="81"/>
      <c r="Q3" s="81"/>
      <c r="R3" s="130"/>
      <c r="S3" s="141" t="s">
        <v>31</v>
      </c>
      <c r="T3" s="135">
        <f>SUM(G3:Q3)</f>
        <v>18.415972222222223</v>
      </c>
      <c r="U3" s="114">
        <v>440.58</v>
      </c>
      <c r="V3" s="78">
        <f>U3*6</f>
        <v>2643.48</v>
      </c>
      <c r="Y3" s="31">
        <v>1200</v>
      </c>
      <c r="AC3" s="34">
        <f>SUM(W3:AA3)</f>
        <v>1200</v>
      </c>
      <c r="AD3" s="102">
        <f t="shared" ref="AD3:AD10" si="0">AC3-V3</f>
        <v>-1443.48</v>
      </c>
      <c r="AE3" s="79" t="s">
        <v>32</v>
      </c>
    </row>
    <row r="4" spans="1:31" ht="14.25" customHeight="1" x14ac:dyDescent="0.25">
      <c r="A4" s="7" t="s">
        <v>33</v>
      </c>
      <c r="B4" s="11">
        <v>3.8194444444444441E-2</v>
      </c>
      <c r="C4" s="2"/>
      <c r="D4" s="2"/>
      <c r="E4" s="2"/>
      <c r="F4" s="2"/>
      <c r="G4" s="30">
        <f>SUM(B4:F4)</f>
        <v>3.8194444444444441E-2</v>
      </c>
      <c r="H4" s="110"/>
      <c r="I4" s="122"/>
      <c r="J4" s="110"/>
      <c r="K4" s="123"/>
      <c r="L4" s="81"/>
      <c r="M4" s="127"/>
      <c r="N4" s="130"/>
      <c r="O4" s="81"/>
      <c r="P4" s="81"/>
      <c r="Q4" s="81"/>
      <c r="R4" s="130"/>
      <c r="S4" s="142" t="s">
        <v>33</v>
      </c>
      <c r="T4" s="130">
        <f t="shared" ref="T4:T10" si="1">SUM(G4:Q4)</f>
        <v>3.8194444444444441E-2</v>
      </c>
      <c r="U4" s="115">
        <v>0.88</v>
      </c>
      <c r="V4" s="53">
        <f>U4*6</f>
        <v>5.28</v>
      </c>
      <c r="AD4" s="103">
        <f t="shared" si="0"/>
        <v>-5.28</v>
      </c>
      <c r="AE4" s="37" t="s">
        <v>33</v>
      </c>
    </row>
    <row r="5" spans="1:31" ht="14.25" customHeight="1" x14ac:dyDescent="0.25">
      <c r="A5" s="7" t="s">
        <v>34</v>
      </c>
      <c r="B5" s="11">
        <v>0.66319444444444442</v>
      </c>
      <c r="C5" s="2">
        <v>0.44097222222222227</v>
      </c>
      <c r="D5" s="2"/>
      <c r="E5" s="2"/>
      <c r="F5" s="2"/>
      <c r="G5" s="30">
        <f>SUM(B5:F5)</f>
        <v>1.1041666666666667</v>
      </c>
      <c r="H5" s="110"/>
      <c r="I5" s="122"/>
      <c r="J5" s="110"/>
      <c r="K5" s="123"/>
      <c r="L5" s="81"/>
      <c r="M5" s="127"/>
      <c r="N5" s="130"/>
      <c r="O5" s="81"/>
      <c r="P5" s="81"/>
      <c r="Q5" s="81"/>
      <c r="R5" s="130"/>
      <c r="S5" s="142" t="s">
        <v>34</v>
      </c>
      <c r="T5" s="130">
        <f t="shared" si="1"/>
        <v>1.1041666666666667</v>
      </c>
      <c r="U5" s="115">
        <v>26.5</v>
      </c>
      <c r="V5" s="53">
        <f t="shared" ref="V5:V10" si="2">U5*6</f>
        <v>159</v>
      </c>
      <c r="AD5" s="103">
        <f t="shared" si="0"/>
        <v>-159</v>
      </c>
      <c r="AE5" s="38" t="s">
        <v>34</v>
      </c>
    </row>
    <row r="6" spans="1:31" ht="14.25" customHeight="1" x14ac:dyDescent="0.25">
      <c r="A6" s="7" t="s">
        <v>35</v>
      </c>
      <c r="B6" s="11"/>
      <c r="C6" s="2"/>
      <c r="D6" s="2"/>
      <c r="E6" s="2"/>
      <c r="F6" s="2"/>
      <c r="G6" s="30"/>
      <c r="H6" s="110"/>
      <c r="I6" s="122"/>
      <c r="J6" s="110">
        <v>0.22916666666666666</v>
      </c>
      <c r="K6" s="123"/>
      <c r="L6" s="81"/>
      <c r="M6" s="127"/>
      <c r="N6" s="130"/>
      <c r="O6" s="81"/>
      <c r="P6" s="81"/>
      <c r="Q6" s="81"/>
      <c r="R6" s="130"/>
      <c r="S6" s="142" t="s">
        <v>35</v>
      </c>
      <c r="T6" s="130">
        <f t="shared" si="1"/>
        <v>0.22916666666666666</v>
      </c>
      <c r="U6" s="115">
        <v>5.5</v>
      </c>
      <c r="V6" s="53">
        <f t="shared" si="2"/>
        <v>33</v>
      </c>
      <c r="Z6" s="31">
        <v>40</v>
      </c>
      <c r="AC6" s="34">
        <f>SUM(W6:AA6)</f>
        <v>40</v>
      </c>
      <c r="AD6" s="103">
        <f t="shared" si="0"/>
        <v>7</v>
      </c>
      <c r="AE6" s="37" t="s">
        <v>35</v>
      </c>
    </row>
    <row r="7" spans="1:31" ht="14.25" customHeight="1" x14ac:dyDescent="0.25">
      <c r="A7" s="7" t="s">
        <v>36</v>
      </c>
      <c r="B7" s="11">
        <v>0.25694444444444448</v>
      </c>
      <c r="C7" s="2"/>
      <c r="D7" s="2">
        <v>0.4375</v>
      </c>
      <c r="E7" s="2"/>
      <c r="F7" s="2"/>
      <c r="G7" s="30">
        <f>SUM(B7:F7)</f>
        <v>0.69444444444444442</v>
      </c>
      <c r="H7" s="110"/>
      <c r="I7" s="122"/>
      <c r="J7" s="110"/>
      <c r="K7" s="123"/>
      <c r="L7" s="81"/>
      <c r="M7" s="127"/>
      <c r="N7" s="130"/>
      <c r="O7" s="81"/>
      <c r="P7" s="81"/>
      <c r="Q7" s="81"/>
      <c r="R7" s="130"/>
      <c r="S7" s="142" t="s">
        <v>36</v>
      </c>
      <c r="T7" s="130">
        <f t="shared" si="1"/>
        <v>0.69444444444444442</v>
      </c>
      <c r="U7" s="115">
        <v>16.64</v>
      </c>
      <c r="V7" s="53">
        <f t="shared" si="2"/>
        <v>99.84</v>
      </c>
      <c r="AD7" s="103">
        <f t="shared" si="0"/>
        <v>-99.84</v>
      </c>
      <c r="AE7" s="37" t="s">
        <v>36</v>
      </c>
    </row>
    <row r="8" spans="1:31" ht="14.25" customHeight="1" x14ac:dyDescent="0.25">
      <c r="A8" s="7" t="s">
        <v>37</v>
      </c>
      <c r="B8" s="11"/>
      <c r="C8" s="2"/>
      <c r="D8" s="2"/>
      <c r="E8" s="2"/>
      <c r="F8" s="2"/>
      <c r="G8" s="30"/>
      <c r="H8" s="110"/>
      <c r="I8" s="122">
        <v>0.125</v>
      </c>
      <c r="J8" s="110"/>
      <c r="K8" s="123"/>
      <c r="L8" s="81"/>
      <c r="M8" s="127"/>
      <c r="N8" s="130"/>
      <c r="O8" s="81"/>
      <c r="P8" s="81"/>
      <c r="Q8" s="81"/>
      <c r="R8" s="130"/>
      <c r="S8" s="142" t="s">
        <v>37</v>
      </c>
      <c r="T8" s="130">
        <f t="shared" si="1"/>
        <v>0.125</v>
      </c>
      <c r="U8" s="115">
        <v>3</v>
      </c>
      <c r="V8" s="53">
        <f t="shared" si="2"/>
        <v>18</v>
      </c>
      <c r="AD8" s="103">
        <f t="shared" si="0"/>
        <v>-18</v>
      </c>
      <c r="AE8" s="37" t="s">
        <v>37</v>
      </c>
    </row>
    <row r="9" spans="1:31" ht="17.25" customHeight="1" x14ac:dyDescent="0.25">
      <c r="A9" s="7" t="s">
        <v>38</v>
      </c>
      <c r="B9" s="11"/>
      <c r="C9" s="2">
        <v>5.2083333333333336E-2</v>
      </c>
      <c r="D9" s="2">
        <v>4.5138888888888888E-2</v>
      </c>
      <c r="E9" s="2">
        <v>0.24305555555555555</v>
      </c>
      <c r="F9" s="2">
        <v>0.30208333333333331</v>
      </c>
      <c r="G9" s="30">
        <f>SUM(B9:F9)</f>
        <v>0.64236111111111116</v>
      </c>
      <c r="H9" s="110"/>
      <c r="I9" s="122"/>
      <c r="J9" s="110"/>
      <c r="K9" s="123"/>
      <c r="L9" s="81"/>
      <c r="M9" s="127"/>
      <c r="N9" s="130"/>
      <c r="O9" s="81"/>
      <c r="P9" s="81"/>
      <c r="Q9" s="81"/>
      <c r="R9" s="130"/>
      <c r="S9" s="142" t="s">
        <v>39</v>
      </c>
      <c r="T9" s="130">
        <f t="shared" si="1"/>
        <v>0.64236111111111116</v>
      </c>
      <c r="U9" s="115">
        <v>15.08</v>
      </c>
      <c r="V9" s="53">
        <f t="shared" si="2"/>
        <v>90.48</v>
      </c>
      <c r="Z9" s="31">
        <v>4252.33</v>
      </c>
      <c r="AA9" s="31">
        <v>592</v>
      </c>
      <c r="AB9" s="32"/>
      <c r="AC9" s="34">
        <f>SUM(W9:AA9)</f>
        <v>4844.33</v>
      </c>
      <c r="AD9" s="105">
        <f t="shared" si="0"/>
        <v>4753.8500000000004</v>
      </c>
      <c r="AE9" s="42" t="s">
        <v>40</v>
      </c>
    </row>
    <row r="10" spans="1:31" ht="14.25" customHeight="1" x14ac:dyDescent="0.25">
      <c r="A10" s="7" t="s">
        <v>41</v>
      </c>
      <c r="B10" s="11">
        <v>0.14583333333333334</v>
      </c>
      <c r="C10" s="2">
        <v>0.61111111111111105</v>
      </c>
      <c r="D10" s="2"/>
      <c r="E10" s="2"/>
      <c r="F10" s="2"/>
      <c r="G10" s="30">
        <f>SUM(B10:F10)</f>
        <v>0.75694444444444442</v>
      </c>
      <c r="H10" s="110"/>
      <c r="I10" s="122"/>
      <c r="J10" s="110"/>
      <c r="K10" s="123"/>
      <c r="L10" s="81"/>
      <c r="M10" s="127"/>
      <c r="N10" s="130"/>
      <c r="O10" s="81"/>
      <c r="P10" s="81"/>
      <c r="Q10" s="81"/>
      <c r="R10" s="130"/>
      <c r="S10" s="142" t="s">
        <v>41</v>
      </c>
      <c r="T10" s="130">
        <f t="shared" si="1"/>
        <v>0.75694444444444442</v>
      </c>
      <c r="U10" s="115">
        <v>18.16</v>
      </c>
      <c r="V10" s="53">
        <f t="shared" si="2"/>
        <v>108.96000000000001</v>
      </c>
      <c r="AD10" s="103">
        <f t="shared" si="0"/>
        <v>-108.96000000000001</v>
      </c>
      <c r="AE10" s="37" t="s">
        <v>41</v>
      </c>
    </row>
    <row r="11" spans="1:31" ht="16.5" customHeight="1" x14ac:dyDescent="0.25">
      <c r="B11" s="108"/>
      <c r="G11" s="30"/>
      <c r="H11" s="110"/>
      <c r="I11" s="112"/>
      <c r="K11" s="112"/>
      <c r="M11" s="109"/>
      <c r="N11" s="131"/>
      <c r="R11" s="131"/>
      <c r="T11" s="130"/>
      <c r="U11" s="116"/>
      <c r="V11" s="116"/>
      <c r="AD11" s="100"/>
      <c r="AE11" s="106"/>
    </row>
    <row r="12" spans="1:31" s="21" customFormat="1" ht="14.25" customHeight="1" x14ac:dyDescent="0.25">
      <c r="A12" s="8" t="s">
        <v>42</v>
      </c>
      <c r="B12" s="12"/>
      <c r="C12" s="6"/>
      <c r="D12" s="6"/>
      <c r="E12" s="6"/>
      <c r="F12" s="6"/>
      <c r="G12" s="30"/>
      <c r="H12" s="110"/>
      <c r="I12" s="123">
        <v>4.1666666666666664E-2</v>
      </c>
      <c r="J12" s="81"/>
      <c r="K12" s="123"/>
      <c r="L12" s="81"/>
      <c r="M12" s="127"/>
      <c r="N12" s="130"/>
      <c r="O12" s="81"/>
      <c r="P12" s="81"/>
      <c r="Q12" s="81"/>
      <c r="R12" s="130"/>
      <c r="S12" s="61" t="s">
        <v>42</v>
      </c>
      <c r="T12" s="130">
        <f>SUM(G12:Q12)</f>
        <v>4.1666666666666664E-2</v>
      </c>
      <c r="U12" s="115">
        <v>1</v>
      </c>
      <c r="V12" s="53">
        <f t="shared" ref="V12:V36" si="3">U12*6</f>
        <v>6</v>
      </c>
      <c r="W12" s="32"/>
      <c r="X12" s="32"/>
      <c r="Y12" s="32"/>
      <c r="Z12" s="32"/>
      <c r="AA12" s="32"/>
      <c r="AB12" s="32"/>
      <c r="AC12" s="34"/>
      <c r="AD12" s="103">
        <f t="shared" ref="AD12:AD16" si="4">AC12-V12</f>
        <v>-6</v>
      </c>
      <c r="AE12" s="38" t="s">
        <v>42</v>
      </c>
    </row>
    <row r="13" spans="1:31" s="21" customFormat="1" ht="14.25" customHeight="1" x14ac:dyDescent="0.25">
      <c r="A13" s="8" t="s">
        <v>43</v>
      </c>
      <c r="B13" s="12"/>
      <c r="C13" s="6">
        <v>3.125E-2</v>
      </c>
      <c r="D13" s="6"/>
      <c r="E13" s="6"/>
      <c r="F13" s="6"/>
      <c r="G13" s="30">
        <f>SUM(B13:F13)</f>
        <v>3.125E-2</v>
      </c>
      <c r="H13" s="110"/>
      <c r="I13" s="123"/>
      <c r="J13" s="81"/>
      <c r="K13" s="123"/>
      <c r="L13" s="81"/>
      <c r="M13" s="127"/>
      <c r="N13" s="130"/>
      <c r="O13" s="81"/>
      <c r="P13" s="81"/>
      <c r="Q13" s="81"/>
      <c r="R13" s="130"/>
      <c r="S13" s="61" t="s">
        <v>43</v>
      </c>
      <c r="T13" s="130">
        <f>SUM(G13:Q13)</f>
        <v>3.125E-2</v>
      </c>
      <c r="U13" s="115">
        <v>0.75</v>
      </c>
      <c r="V13" s="53">
        <f t="shared" si="3"/>
        <v>4.5</v>
      </c>
      <c r="W13" s="32"/>
      <c r="X13" s="32"/>
      <c r="Y13" s="32"/>
      <c r="Z13" s="32"/>
      <c r="AA13" s="32"/>
      <c r="AB13" s="32"/>
      <c r="AC13" s="34"/>
      <c r="AD13" s="103">
        <f t="shared" si="4"/>
        <v>-4.5</v>
      </c>
      <c r="AE13" s="38" t="s">
        <v>43</v>
      </c>
    </row>
    <row r="14" spans="1:31" s="21" customFormat="1" ht="14.25" customHeight="1" x14ac:dyDescent="0.25">
      <c r="A14" s="8" t="s">
        <v>44</v>
      </c>
      <c r="B14" s="12"/>
      <c r="C14" s="6"/>
      <c r="D14" s="6">
        <v>4.5138888888888888E-2</v>
      </c>
      <c r="E14" s="6"/>
      <c r="F14" s="6"/>
      <c r="G14" s="30">
        <f>SUM(B14:F14)</f>
        <v>4.5138888888888888E-2</v>
      </c>
      <c r="H14" s="110"/>
      <c r="I14" s="123"/>
      <c r="J14" s="81"/>
      <c r="K14" s="123"/>
      <c r="L14" s="81"/>
      <c r="M14" s="127"/>
      <c r="N14" s="130"/>
      <c r="O14" s="81"/>
      <c r="P14" s="81"/>
      <c r="Q14" s="81"/>
      <c r="R14" s="130"/>
      <c r="S14" s="61" t="s">
        <v>44</v>
      </c>
      <c r="T14" s="130">
        <f>SUM(G14:Q14)</f>
        <v>4.5138888888888888E-2</v>
      </c>
      <c r="U14" s="115">
        <v>1.08</v>
      </c>
      <c r="V14" s="53">
        <f t="shared" si="3"/>
        <v>6.48</v>
      </c>
      <c r="W14" s="32"/>
      <c r="X14" s="32"/>
      <c r="Y14" s="32"/>
      <c r="Z14" s="32"/>
      <c r="AA14" s="32"/>
      <c r="AB14" s="32"/>
      <c r="AC14" s="34"/>
      <c r="AD14" s="103">
        <f t="shared" si="4"/>
        <v>-6.48</v>
      </c>
      <c r="AE14" s="38" t="s">
        <v>44</v>
      </c>
    </row>
    <row r="15" spans="1:31" s="21" customFormat="1" ht="14.25" customHeight="1" x14ac:dyDescent="0.25">
      <c r="A15" s="8" t="s">
        <v>45</v>
      </c>
      <c r="B15" s="12">
        <v>1.1597222222222221</v>
      </c>
      <c r="C15" s="6">
        <v>0.75138888888888899</v>
      </c>
      <c r="D15" s="6">
        <v>1.4479166666666667</v>
      </c>
      <c r="E15" s="6">
        <v>1.4333333333333333</v>
      </c>
      <c r="F15" s="6">
        <v>0.49791666666666662</v>
      </c>
      <c r="G15" s="30">
        <f>SUM(B15:F15)</f>
        <v>5.2902777777777779</v>
      </c>
      <c r="H15" s="110"/>
      <c r="I15" s="123"/>
      <c r="J15" s="81"/>
      <c r="K15" s="123"/>
      <c r="L15" s="81"/>
      <c r="M15" s="127"/>
      <c r="N15" s="130"/>
      <c r="O15" s="81"/>
      <c r="P15" s="81"/>
      <c r="Q15" s="81"/>
      <c r="R15" s="130"/>
      <c r="S15" s="61" t="s">
        <v>45</v>
      </c>
      <c r="T15" s="130">
        <f>SUM(G15:Q15)</f>
        <v>5.2902777777777779</v>
      </c>
      <c r="U15" s="115">
        <v>127</v>
      </c>
      <c r="V15" s="53">
        <f t="shared" si="3"/>
        <v>762</v>
      </c>
      <c r="W15" s="32">
        <v>2207.71</v>
      </c>
      <c r="X15" s="32"/>
      <c r="Y15" s="32">
        <v>158.6</v>
      </c>
      <c r="Z15" s="32">
        <v>2009.75</v>
      </c>
      <c r="AA15" s="32"/>
      <c r="AB15" s="32"/>
      <c r="AC15" s="34">
        <f>SUM(W15:AA15)</f>
        <v>4376.0599999999995</v>
      </c>
      <c r="AD15" s="105">
        <f t="shared" si="4"/>
        <v>3614.0599999999995</v>
      </c>
      <c r="AE15" s="42" t="s">
        <v>45</v>
      </c>
    </row>
    <row r="16" spans="1:31" s="21" customFormat="1" ht="14.25" customHeight="1" x14ac:dyDescent="0.25">
      <c r="A16" s="8" t="s">
        <v>46</v>
      </c>
      <c r="B16" s="12">
        <v>0.51041666666666663</v>
      </c>
      <c r="C16" s="6">
        <v>0.4861111111111111</v>
      </c>
      <c r="D16" s="6"/>
      <c r="E16" s="6"/>
      <c r="F16" s="6"/>
      <c r="G16" s="30">
        <f>SUM(B16:F16)</f>
        <v>0.99652777777777768</v>
      </c>
      <c r="H16" s="110"/>
      <c r="I16" s="123"/>
      <c r="J16" s="81"/>
      <c r="K16" s="123"/>
      <c r="L16" s="81"/>
      <c r="M16" s="127"/>
      <c r="N16" s="130"/>
      <c r="O16" s="81"/>
      <c r="P16" s="81"/>
      <c r="Q16" s="81"/>
      <c r="R16" s="130"/>
      <c r="S16" s="61" t="s">
        <v>46</v>
      </c>
      <c r="T16" s="130">
        <f>SUM(G16:Q16)</f>
        <v>0.99652777777777768</v>
      </c>
      <c r="U16" s="115">
        <v>23.88</v>
      </c>
      <c r="V16" s="53">
        <f t="shared" si="3"/>
        <v>143.28</v>
      </c>
      <c r="W16" s="32"/>
      <c r="X16" s="32"/>
      <c r="Y16" s="32"/>
      <c r="Z16" s="32"/>
      <c r="AA16" s="32"/>
      <c r="AB16" s="32"/>
      <c r="AC16" s="34"/>
      <c r="AD16" s="103">
        <f t="shared" si="4"/>
        <v>-143.28</v>
      </c>
      <c r="AE16" s="38" t="s">
        <v>46</v>
      </c>
    </row>
    <row r="17" spans="1:31" s="21" customFormat="1" ht="14.25" customHeight="1" x14ac:dyDescent="0.25">
      <c r="A17" s="8" t="s">
        <v>47</v>
      </c>
      <c r="B17" s="12"/>
      <c r="C17" s="6"/>
      <c r="D17" s="6"/>
      <c r="E17" s="6"/>
      <c r="F17" s="6"/>
      <c r="G17" s="30"/>
      <c r="H17" s="110"/>
      <c r="I17" s="123"/>
      <c r="J17" s="81"/>
      <c r="K17" s="123"/>
      <c r="L17" s="81"/>
      <c r="M17" s="127"/>
      <c r="N17" s="130"/>
      <c r="O17" s="81"/>
      <c r="P17" s="81"/>
      <c r="Q17" s="81">
        <v>3.9583333333333331E-2</v>
      </c>
      <c r="R17" s="130"/>
      <c r="S17" s="61" t="s">
        <v>47</v>
      </c>
      <c r="T17" s="130">
        <f>SUM(G17:Q20)</f>
        <v>0.29930555555555555</v>
      </c>
      <c r="U17" s="115">
        <v>7.16</v>
      </c>
      <c r="V17" s="53">
        <f t="shared" si="3"/>
        <v>42.96</v>
      </c>
      <c r="W17" s="32"/>
      <c r="X17" s="32"/>
      <c r="Y17" s="32"/>
      <c r="Z17" s="32"/>
      <c r="AA17" s="32"/>
      <c r="AB17" s="32"/>
      <c r="AC17" s="34"/>
      <c r="AD17" s="103">
        <f>AC17-V17</f>
        <v>-42.96</v>
      </c>
      <c r="AE17" s="38" t="s">
        <v>47</v>
      </c>
    </row>
    <row r="18" spans="1:31" s="21" customFormat="1" ht="14.25" customHeight="1" x14ac:dyDescent="0.25">
      <c r="A18" s="8" t="s">
        <v>48</v>
      </c>
      <c r="B18" s="12"/>
      <c r="C18" s="6"/>
      <c r="D18" s="6"/>
      <c r="E18" s="6"/>
      <c r="F18" s="6"/>
      <c r="G18" s="30"/>
      <c r="H18" s="110"/>
      <c r="I18" s="123"/>
      <c r="J18" s="81"/>
      <c r="K18" s="123"/>
      <c r="L18" s="81"/>
      <c r="M18" s="127"/>
      <c r="N18" s="130"/>
      <c r="O18" s="81"/>
      <c r="P18" s="81"/>
      <c r="Q18" s="81">
        <v>6.5972222222222224E-2</v>
      </c>
      <c r="R18" s="130"/>
      <c r="S18" s="61" t="s">
        <v>48</v>
      </c>
      <c r="T18" s="130"/>
      <c r="U18" s="115"/>
      <c r="V18" s="53"/>
      <c r="W18" s="32"/>
      <c r="X18" s="32"/>
      <c r="Y18" s="32"/>
      <c r="Z18" s="32"/>
      <c r="AA18" s="32"/>
      <c r="AB18" s="32"/>
      <c r="AC18" s="34"/>
      <c r="AD18" s="103"/>
      <c r="AE18" s="38" t="s">
        <v>48</v>
      </c>
    </row>
    <row r="19" spans="1:31" s="21" customFormat="1" ht="14.25" customHeight="1" x14ac:dyDescent="0.25">
      <c r="A19" s="8" t="s">
        <v>49</v>
      </c>
      <c r="B19" s="12"/>
      <c r="C19" s="6"/>
      <c r="D19" s="6"/>
      <c r="E19" s="6"/>
      <c r="F19" s="6"/>
      <c r="G19" s="30"/>
      <c r="H19" s="110"/>
      <c r="I19" s="123"/>
      <c r="J19" s="81"/>
      <c r="K19" s="123"/>
      <c r="L19" s="81"/>
      <c r="M19" s="127"/>
      <c r="N19" s="130"/>
      <c r="O19" s="81"/>
      <c r="P19" s="81"/>
      <c r="Q19" s="81">
        <v>9.6527777777777768E-2</v>
      </c>
      <c r="R19" s="130"/>
      <c r="S19" s="61" t="s">
        <v>49</v>
      </c>
      <c r="T19" s="130"/>
      <c r="U19" s="115"/>
      <c r="V19" s="53"/>
      <c r="W19" s="32"/>
      <c r="X19" s="32"/>
      <c r="Y19" s="32"/>
      <c r="Z19" s="32"/>
      <c r="AA19" s="32"/>
      <c r="AB19" s="32"/>
      <c r="AC19" s="34"/>
      <c r="AD19" s="103"/>
      <c r="AE19" s="38" t="s">
        <v>49</v>
      </c>
    </row>
    <row r="20" spans="1:31" ht="14.25" customHeight="1" x14ac:dyDescent="0.25">
      <c r="A20" s="7" t="s">
        <v>50</v>
      </c>
      <c r="B20" s="11"/>
      <c r="C20" s="2"/>
      <c r="D20" s="2"/>
      <c r="E20" s="2">
        <v>4.1666666666666664E-2</v>
      </c>
      <c r="F20" s="2"/>
      <c r="G20" s="30">
        <f>SUM(B17:F20)</f>
        <v>4.1666666666666664E-2</v>
      </c>
      <c r="H20" s="110"/>
      <c r="I20" s="122"/>
      <c r="J20" s="110"/>
      <c r="K20" s="123"/>
      <c r="L20" s="81">
        <v>5.2083333333333336E-2</v>
      </c>
      <c r="M20" s="127"/>
      <c r="N20" s="130"/>
      <c r="O20" s="81"/>
      <c r="P20" s="81">
        <v>3.472222222222222E-3</v>
      </c>
      <c r="Q20" s="81"/>
      <c r="R20" s="130"/>
      <c r="S20" s="142" t="s">
        <v>50</v>
      </c>
      <c r="T20" s="130"/>
      <c r="U20" s="115"/>
      <c r="V20" s="53"/>
      <c r="AD20" s="103"/>
      <c r="AE20" s="37" t="s">
        <v>50</v>
      </c>
    </row>
    <row r="21" spans="1:31" s="21" customFormat="1" ht="14.25" customHeight="1" x14ac:dyDescent="0.25">
      <c r="A21" s="8" t="s">
        <v>51</v>
      </c>
      <c r="B21" s="12">
        <v>1.8993055555555556</v>
      </c>
      <c r="C21" s="6">
        <v>1.1576388888888889</v>
      </c>
      <c r="D21" s="6">
        <v>2.7777777777777776E-2</v>
      </c>
      <c r="E21" s="6">
        <v>0.11458333333333333</v>
      </c>
      <c r="F21" s="6"/>
      <c r="G21" s="30">
        <f>SUM(B21:F21)</f>
        <v>3.1993055555555556</v>
      </c>
      <c r="H21" s="110"/>
      <c r="I21" s="123"/>
      <c r="J21" s="81"/>
      <c r="K21" s="123"/>
      <c r="L21" s="81"/>
      <c r="M21" s="127"/>
      <c r="N21" s="130"/>
      <c r="O21" s="81"/>
      <c r="P21" s="81"/>
      <c r="Q21" s="81"/>
      <c r="R21" s="130"/>
      <c r="S21" s="61" t="s">
        <v>51</v>
      </c>
      <c r="T21" s="130">
        <f t="shared" ref="T21:T33" si="5">SUM(G21:Q21)</f>
        <v>3.1993055555555556</v>
      </c>
      <c r="U21" s="115">
        <v>76.8</v>
      </c>
      <c r="V21" s="53">
        <f t="shared" si="3"/>
        <v>460.79999999999995</v>
      </c>
      <c r="W21" s="32"/>
      <c r="X21" s="32">
        <v>988.2</v>
      </c>
      <c r="Y21" s="32"/>
      <c r="Z21" s="32"/>
      <c r="AA21" s="32"/>
      <c r="AB21" s="32"/>
      <c r="AC21" s="34">
        <f>SUM(W21:AA21)</f>
        <v>988.2</v>
      </c>
      <c r="AD21" s="105">
        <f t="shared" ref="AD21:AD31" si="6">AC21-V21</f>
        <v>527.40000000000009</v>
      </c>
      <c r="AE21" s="42" t="s">
        <v>51</v>
      </c>
    </row>
    <row r="22" spans="1:31" s="21" customFormat="1" ht="14.25" customHeight="1" x14ac:dyDescent="0.25">
      <c r="A22" s="8" t="s">
        <v>52</v>
      </c>
      <c r="B22" s="12"/>
      <c r="C22" s="6"/>
      <c r="D22" s="6"/>
      <c r="E22" s="6">
        <v>2.7777777777777776E-2</v>
      </c>
      <c r="F22" s="6"/>
      <c r="G22" s="30">
        <f>SUM(B22:F22)</f>
        <v>2.7777777777777776E-2</v>
      </c>
      <c r="H22" s="110"/>
      <c r="I22" s="123"/>
      <c r="J22" s="81">
        <v>0.28819444444444448</v>
      </c>
      <c r="K22" s="123"/>
      <c r="L22" s="81"/>
      <c r="M22" s="127"/>
      <c r="N22" s="130"/>
      <c r="O22" s="81"/>
      <c r="P22" s="81"/>
      <c r="Q22" s="81"/>
      <c r="R22" s="130"/>
      <c r="S22" s="61" t="s">
        <v>52</v>
      </c>
      <c r="T22" s="130">
        <f t="shared" si="5"/>
        <v>0.31597222222222227</v>
      </c>
      <c r="U22" s="115">
        <v>7.58</v>
      </c>
      <c r="V22" s="53">
        <f t="shared" si="3"/>
        <v>45.480000000000004</v>
      </c>
      <c r="W22" s="32"/>
      <c r="X22" s="32"/>
      <c r="Y22" s="32"/>
      <c r="Z22" s="32"/>
      <c r="AA22" s="32"/>
      <c r="AB22" s="32"/>
      <c r="AC22" s="34"/>
      <c r="AD22" s="103">
        <f t="shared" si="6"/>
        <v>-45.480000000000004</v>
      </c>
      <c r="AE22" s="38" t="s">
        <v>52</v>
      </c>
    </row>
    <row r="23" spans="1:31" s="21" customFormat="1" ht="14.25" customHeight="1" x14ac:dyDescent="0.25">
      <c r="A23" s="8" t="s">
        <v>53</v>
      </c>
      <c r="B23" s="12">
        <v>2.1180555555555558</v>
      </c>
      <c r="C23" s="6">
        <v>4.4013888888888895</v>
      </c>
      <c r="D23" s="6">
        <v>0.35069444444444442</v>
      </c>
      <c r="E23" s="6">
        <v>1.4131944444444444</v>
      </c>
      <c r="F23" s="6">
        <v>1.2569444444444444</v>
      </c>
      <c r="G23" s="30">
        <f>SUM(B23:F23)</f>
        <v>9.5402777777777796</v>
      </c>
      <c r="H23" s="110"/>
      <c r="I23" s="123"/>
      <c r="J23" s="81"/>
      <c r="K23" s="123"/>
      <c r="L23" s="81"/>
      <c r="M23" s="127"/>
      <c r="N23" s="130"/>
      <c r="O23" s="81"/>
      <c r="P23" s="81"/>
      <c r="Q23" s="81"/>
      <c r="R23" s="130"/>
      <c r="S23" s="61" t="s">
        <v>53</v>
      </c>
      <c r="T23" s="130">
        <f t="shared" si="5"/>
        <v>9.5402777777777796</v>
      </c>
      <c r="U23" s="115">
        <v>227</v>
      </c>
      <c r="V23" s="53">
        <f t="shared" si="3"/>
        <v>1362</v>
      </c>
      <c r="W23" s="32">
        <v>1217.22</v>
      </c>
      <c r="X23" s="32"/>
      <c r="Y23" s="32"/>
      <c r="Z23" s="32"/>
      <c r="AA23" s="32"/>
      <c r="AB23" s="32"/>
      <c r="AC23" s="34">
        <f>SUM(W23:AA23)</f>
        <v>1217.22</v>
      </c>
      <c r="AD23" s="103">
        <f t="shared" si="6"/>
        <v>-144.77999999999997</v>
      </c>
      <c r="AE23" s="38" t="s">
        <v>53</v>
      </c>
    </row>
    <row r="24" spans="1:31" s="21" customFormat="1" ht="14.25" customHeight="1" x14ac:dyDescent="0.25">
      <c r="A24" s="8" t="s">
        <v>54</v>
      </c>
      <c r="B24" s="12">
        <v>1.1041666666666667</v>
      </c>
      <c r="C24" s="6">
        <v>0.94097222222222221</v>
      </c>
      <c r="D24" s="6">
        <v>0.16319444444444445</v>
      </c>
      <c r="E24" s="6">
        <v>0.33333333333333331</v>
      </c>
      <c r="F24" s="6">
        <v>0.84722222222222221</v>
      </c>
      <c r="G24" s="30">
        <f>SUM(B24:F24)</f>
        <v>3.3888888888888893</v>
      </c>
      <c r="H24" s="110"/>
      <c r="I24" s="123"/>
      <c r="J24" s="81"/>
      <c r="K24" s="123"/>
      <c r="L24" s="81"/>
      <c r="M24" s="127"/>
      <c r="N24" s="130"/>
      <c r="O24" s="81"/>
      <c r="P24" s="81"/>
      <c r="Q24" s="81"/>
      <c r="R24" s="130"/>
      <c r="S24" s="61" t="s">
        <v>54</v>
      </c>
      <c r="T24" s="130">
        <f t="shared" si="5"/>
        <v>3.3888888888888893</v>
      </c>
      <c r="U24" s="115">
        <v>81.319999999999993</v>
      </c>
      <c r="V24" s="53">
        <f t="shared" si="3"/>
        <v>487.91999999999996</v>
      </c>
      <c r="W24" s="32"/>
      <c r="X24" s="32">
        <v>306.5</v>
      </c>
      <c r="Y24" s="32"/>
      <c r="Z24" s="32"/>
      <c r="AA24" s="32"/>
      <c r="AB24" s="32"/>
      <c r="AC24" s="34">
        <f>SUM(W24:AA24)</f>
        <v>306.5</v>
      </c>
      <c r="AD24" s="103">
        <f t="shared" si="6"/>
        <v>-181.41999999999996</v>
      </c>
      <c r="AE24" s="38" t="s">
        <v>54</v>
      </c>
    </row>
    <row r="25" spans="1:31" s="21" customFormat="1" ht="14.25" customHeight="1" x14ac:dyDescent="0.25">
      <c r="A25" s="8" t="s">
        <v>55</v>
      </c>
      <c r="B25" s="12"/>
      <c r="C25" s="6"/>
      <c r="D25" s="6">
        <v>4.1666666666666664E-2</v>
      </c>
      <c r="E25" s="6"/>
      <c r="F25" s="6"/>
      <c r="G25" s="30">
        <f>SUM(B25:F25)</f>
        <v>4.1666666666666664E-2</v>
      </c>
      <c r="H25" s="110"/>
      <c r="I25" s="123"/>
      <c r="J25" s="81"/>
      <c r="K25" s="123"/>
      <c r="L25" s="81"/>
      <c r="M25" s="127"/>
      <c r="N25" s="130"/>
      <c r="O25" s="81"/>
      <c r="P25" s="81"/>
      <c r="Q25" s="81"/>
      <c r="R25" s="130"/>
      <c r="S25" s="61" t="s">
        <v>55</v>
      </c>
      <c r="T25" s="130">
        <f t="shared" si="5"/>
        <v>4.1666666666666664E-2</v>
      </c>
      <c r="U25" s="115">
        <v>1</v>
      </c>
      <c r="V25" s="53">
        <f t="shared" si="3"/>
        <v>6</v>
      </c>
      <c r="W25" s="32"/>
      <c r="X25" s="32"/>
      <c r="Y25" s="32"/>
      <c r="Z25" s="32"/>
      <c r="AA25" s="32"/>
      <c r="AB25" s="32"/>
      <c r="AC25" s="34"/>
      <c r="AD25" s="103">
        <f t="shared" si="6"/>
        <v>-6</v>
      </c>
      <c r="AE25" s="38" t="s">
        <v>55</v>
      </c>
    </row>
    <row r="26" spans="1:31" s="21" customFormat="1" ht="14.25" customHeight="1" x14ac:dyDescent="0.25">
      <c r="A26" s="8" t="s">
        <v>56</v>
      </c>
      <c r="B26" s="12"/>
      <c r="C26" s="6"/>
      <c r="D26" s="6"/>
      <c r="E26" s="6"/>
      <c r="F26" s="6"/>
      <c r="G26" s="30"/>
      <c r="H26" s="110"/>
      <c r="I26" s="123"/>
      <c r="J26" s="81"/>
      <c r="K26" s="123"/>
      <c r="L26" s="81">
        <v>0.16666666666666666</v>
      </c>
      <c r="M26" s="127"/>
      <c r="N26" s="130"/>
      <c r="O26" s="81">
        <v>0.1173611111111111</v>
      </c>
      <c r="P26" s="81">
        <v>0.33888888888888885</v>
      </c>
      <c r="Q26" s="81">
        <v>5.1388888888888894E-2</v>
      </c>
      <c r="R26" s="130"/>
      <c r="S26" s="61" t="s">
        <v>56</v>
      </c>
      <c r="T26" s="130">
        <f t="shared" si="5"/>
        <v>0.67430555555555549</v>
      </c>
      <c r="U26" s="115">
        <v>16.16</v>
      </c>
      <c r="V26" s="53">
        <f t="shared" si="3"/>
        <v>96.960000000000008</v>
      </c>
      <c r="W26" s="32"/>
      <c r="X26" s="32"/>
      <c r="Y26" s="32"/>
      <c r="Z26" s="32"/>
      <c r="AA26" s="32"/>
      <c r="AB26" s="32"/>
      <c r="AC26" s="34"/>
      <c r="AD26" s="103">
        <f t="shared" si="6"/>
        <v>-96.960000000000008</v>
      </c>
      <c r="AE26" s="38" t="s">
        <v>56</v>
      </c>
    </row>
    <row r="27" spans="1:31" s="21" customFormat="1" ht="14.25" customHeight="1" x14ac:dyDescent="0.25">
      <c r="A27" s="8" t="s">
        <v>57</v>
      </c>
      <c r="B27" s="12">
        <v>0.88888888888888884</v>
      </c>
      <c r="C27" s="6">
        <v>1.4458333333333335</v>
      </c>
      <c r="D27" s="6">
        <v>0.8208333333333333</v>
      </c>
      <c r="E27" s="6">
        <v>1.5861111111111112</v>
      </c>
      <c r="F27" s="6">
        <v>0.59305555555555556</v>
      </c>
      <c r="G27" s="30">
        <f t="shared" ref="G27:G33" si="7">SUM(B27:F27)</f>
        <v>5.334722222222223</v>
      </c>
      <c r="H27" s="110">
        <v>0.27777777777777779</v>
      </c>
      <c r="I27" s="123">
        <v>7.2916666666666671E-2</v>
      </c>
      <c r="J27" s="81"/>
      <c r="K27" s="123"/>
      <c r="L27" s="81"/>
      <c r="M27" s="127"/>
      <c r="N27" s="130"/>
      <c r="O27" s="81"/>
      <c r="P27" s="81"/>
      <c r="Q27" s="81">
        <v>0.1111111111111111</v>
      </c>
      <c r="R27" s="130"/>
      <c r="S27" s="61" t="s">
        <v>57</v>
      </c>
      <c r="T27" s="130">
        <f t="shared" si="5"/>
        <v>5.7965277777777784</v>
      </c>
      <c r="U27" s="115">
        <v>138</v>
      </c>
      <c r="V27" s="53">
        <f t="shared" si="3"/>
        <v>828</v>
      </c>
      <c r="W27" s="32">
        <v>392.84</v>
      </c>
      <c r="X27" s="32">
        <v>175.19</v>
      </c>
      <c r="Y27" s="32">
        <v>105.11</v>
      </c>
      <c r="Z27" s="32">
        <v>70.075999999999993</v>
      </c>
      <c r="AA27" s="32"/>
      <c r="AB27" s="32"/>
      <c r="AC27" s="34">
        <f>SUM(W27:AA27)</f>
        <v>743.21600000000001</v>
      </c>
      <c r="AD27" s="103">
        <f t="shared" si="6"/>
        <v>-84.783999999999992</v>
      </c>
      <c r="AE27" s="38" t="s">
        <v>57</v>
      </c>
    </row>
    <row r="28" spans="1:31" s="21" customFormat="1" ht="14.25" customHeight="1" x14ac:dyDescent="0.25">
      <c r="A28" s="8" t="s">
        <v>58</v>
      </c>
      <c r="B28" s="12"/>
      <c r="C28" s="6">
        <v>0.12152777777777778</v>
      </c>
      <c r="D28" s="6"/>
      <c r="E28" s="6"/>
      <c r="F28" s="6"/>
      <c r="G28" s="30">
        <f t="shared" si="7"/>
        <v>0.12152777777777778</v>
      </c>
      <c r="H28" s="110"/>
      <c r="I28" s="123"/>
      <c r="J28" s="81"/>
      <c r="K28" s="123"/>
      <c r="L28" s="81"/>
      <c r="M28" s="127"/>
      <c r="N28" s="130"/>
      <c r="O28" s="81"/>
      <c r="P28" s="81"/>
      <c r="Q28" s="81">
        <v>0.53611111111111109</v>
      </c>
      <c r="R28" s="130"/>
      <c r="S28" s="61" t="s">
        <v>58</v>
      </c>
      <c r="T28" s="130">
        <f t="shared" si="5"/>
        <v>0.65763888888888888</v>
      </c>
      <c r="U28" s="115">
        <v>11.32</v>
      </c>
      <c r="V28" s="53">
        <f t="shared" si="3"/>
        <v>67.92</v>
      </c>
      <c r="W28" s="32"/>
      <c r="X28" s="32"/>
      <c r="Y28" s="32"/>
      <c r="Z28" s="32"/>
      <c r="AA28" s="32"/>
      <c r="AB28" s="32"/>
      <c r="AC28" s="34"/>
      <c r="AD28" s="103">
        <f t="shared" si="6"/>
        <v>-67.92</v>
      </c>
      <c r="AE28" s="38" t="s">
        <v>58</v>
      </c>
    </row>
    <row r="29" spans="1:31" s="21" customFormat="1" ht="14.25" customHeight="1" x14ac:dyDescent="0.25">
      <c r="A29" s="8" t="s">
        <v>59</v>
      </c>
      <c r="B29" s="12">
        <v>2.21875</v>
      </c>
      <c r="C29" s="6">
        <v>0.56458333333333333</v>
      </c>
      <c r="D29" s="6">
        <v>2.0034722222222223</v>
      </c>
      <c r="E29" s="6">
        <v>3.2159722222222222</v>
      </c>
      <c r="F29" s="6">
        <v>1.2847222222222221</v>
      </c>
      <c r="G29" s="30">
        <f t="shared" si="7"/>
        <v>9.2874999999999996</v>
      </c>
      <c r="H29" s="110"/>
      <c r="I29" s="123">
        <v>5.2083333333333336E-2</v>
      </c>
      <c r="J29" s="81"/>
      <c r="K29" s="123"/>
      <c r="L29" s="81"/>
      <c r="M29" s="127"/>
      <c r="N29" s="130"/>
      <c r="O29" s="81"/>
      <c r="P29" s="81"/>
      <c r="Q29" s="81"/>
      <c r="R29" s="130"/>
      <c r="S29" s="61" t="s">
        <v>59</v>
      </c>
      <c r="T29" s="130">
        <f t="shared" si="5"/>
        <v>9.3395833333333336</v>
      </c>
      <c r="U29" s="115">
        <v>222.8</v>
      </c>
      <c r="V29" s="53">
        <f t="shared" si="3"/>
        <v>1336.8000000000002</v>
      </c>
      <c r="W29" s="32"/>
      <c r="X29" s="32"/>
      <c r="Y29" s="32">
        <v>696.57</v>
      </c>
      <c r="Z29" s="32">
        <v>120</v>
      </c>
      <c r="AA29" s="32"/>
      <c r="AB29" s="32"/>
      <c r="AC29" s="34">
        <f>SUM(W29:AA29)</f>
        <v>816.57</v>
      </c>
      <c r="AD29" s="104">
        <f t="shared" si="6"/>
        <v>-520.23000000000013</v>
      </c>
      <c r="AE29" s="65" t="s">
        <v>59</v>
      </c>
    </row>
    <row r="30" spans="1:31" s="21" customFormat="1" ht="14.25" customHeight="1" x14ac:dyDescent="0.25">
      <c r="A30" s="8" t="s">
        <v>60</v>
      </c>
      <c r="B30" s="12">
        <v>0.4513888888888889</v>
      </c>
      <c r="C30" s="6"/>
      <c r="D30" s="6"/>
      <c r="E30" s="6"/>
      <c r="F30" s="6"/>
      <c r="G30" s="30">
        <f t="shared" si="7"/>
        <v>0.4513888888888889</v>
      </c>
      <c r="H30" s="110"/>
      <c r="I30" s="123"/>
      <c r="J30" s="81"/>
      <c r="K30" s="123"/>
      <c r="L30" s="81"/>
      <c r="M30" s="127"/>
      <c r="N30" s="130"/>
      <c r="O30" s="81"/>
      <c r="P30" s="81"/>
      <c r="Q30" s="81"/>
      <c r="R30" s="130"/>
      <c r="S30" s="61" t="s">
        <v>60</v>
      </c>
      <c r="T30" s="130">
        <f t="shared" si="5"/>
        <v>0.4513888888888889</v>
      </c>
      <c r="U30" s="115">
        <v>10.8</v>
      </c>
      <c r="V30" s="53">
        <f t="shared" si="3"/>
        <v>64.800000000000011</v>
      </c>
      <c r="W30" s="32"/>
      <c r="X30" s="32"/>
      <c r="Y30" s="32"/>
      <c r="Z30" s="32"/>
      <c r="AA30" s="32"/>
      <c r="AB30" s="32"/>
      <c r="AC30" s="34"/>
      <c r="AD30" s="103">
        <f t="shared" si="6"/>
        <v>-64.800000000000011</v>
      </c>
      <c r="AE30" s="38" t="s">
        <v>60</v>
      </c>
    </row>
    <row r="31" spans="1:31" s="21" customFormat="1" ht="14.25" customHeight="1" x14ac:dyDescent="0.25">
      <c r="A31" s="8" t="s">
        <v>61</v>
      </c>
      <c r="B31" s="12"/>
      <c r="C31" s="6"/>
      <c r="D31" s="6">
        <v>2.0833333333333332E-2</v>
      </c>
      <c r="E31" s="6"/>
      <c r="F31" s="6"/>
      <c r="G31" s="30">
        <f t="shared" si="7"/>
        <v>2.0833333333333332E-2</v>
      </c>
      <c r="H31" s="110"/>
      <c r="I31" s="123">
        <v>4.1666666666666664E-2</v>
      </c>
      <c r="J31" s="81"/>
      <c r="K31" s="123">
        <v>0.22916666666666666</v>
      </c>
      <c r="L31" s="81">
        <v>0.25694444444444448</v>
      </c>
      <c r="M31" s="127"/>
      <c r="N31" s="130"/>
      <c r="O31" s="81">
        <v>0.49374999999999997</v>
      </c>
      <c r="P31" s="81">
        <v>8.9583333333333334E-2</v>
      </c>
      <c r="Q31" s="81">
        <v>2.0833333333333332E-2</v>
      </c>
      <c r="R31" s="130"/>
      <c r="S31" s="61" t="s">
        <v>61</v>
      </c>
      <c r="T31" s="130">
        <f t="shared" si="5"/>
        <v>1.1527777777777777</v>
      </c>
      <c r="U31" s="115">
        <v>27.64</v>
      </c>
      <c r="V31" s="53">
        <f t="shared" si="3"/>
        <v>165.84</v>
      </c>
      <c r="W31" s="32"/>
      <c r="X31" s="32"/>
      <c r="Y31" s="32"/>
      <c r="Z31" s="32"/>
      <c r="AA31" s="32"/>
      <c r="AB31" s="32"/>
      <c r="AC31" s="34"/>
      <c r="AD31" s="103">
        <f t="shared" si="6"/>
        <v>-165.84</v>
      </c>
      <c r="AE31" s="38" t="s">
        <v>61</v>
      </c>
    </row>
    <row r="32" spans="1:31" s="21" customFormat="1" ht="14.25" customHeight="1" x14ac:dyDescent="0.25">
      <c r="A32" s="8" t="s">
        <v>62</v>
      </c>
      <c r="B32" s="12">
        <v>0.65972222222222221</v>
      </c>
      <c r="C32" s="6">
        <v>1.1076388888888888</v>
      </c>
      <c r="D32" s="6">
        <v>1.5694444444444444</v>
      </c>
      <c r="E32" s="6">
        <v>2.1333333333333333</v>
      </c>
      <c r="F32" s="6">
        <v>0.67013888888888884</v>
      </c>
      <c r="G32" s="30">
        <f t="shared" si="7"/>
        <v>6.1402777777777775</v>
      </c>
      <c r="H32" s="110"/>
      <c r="I32" s="123"/>
      <c r="J32" s="81"/>
      <c r="K32" s="123"/>
      <c r="L32" s="81"/>
      <c r="M32" s="127"/>
      <c r="N32" s="130"/>
      <c r="O32" s="81"/>
      <c r="P32" s="81"/>
      <c r="Q32" s="81"/>
      <c r="R32" s="130"/>
      <c r="S32" s="61" t="s">
        <v>62</v>
      </c>
      <c r="T32" s="130">
        <f t="shared" si="5"/>
        <v>6.1402777777777775</v>
      </c>
      <c r="U32" s="115">
        <v>147.32</v>
      </c>
      <c r="V32" s="53">
        <f t="shared" si="3"/>
        <v>883.92</v>
      </c>
      <c r="W32" s="32"/>
      <c r="X32" s="32"/>
      <c r="Y32" s="32">
        <v>416</v>
      </c>
      <c r="Z32" s="32">
        <v>280.08</v>
      </c>
      <c r="AA32" s="32"/>
      <c r="AB32" s="32"/>
      <c r="AC32" s="34">
        <f>SUM(W32:AA32)</f>
        <v>696.07999999999993</v>
      </c>
      <c r="AD32" s="103">
        <f>AC32-V32</f>
        <v>-187.84000000000003</v>
      </c>
      <c r="AE32" s="38" t="s">
        <v>62</v>
      </c>
    </row>
    <row r="33" spans="1:31" ht="14.25" customHeight="1" x14ac:dyDescent="0.25">
      <c r="A33" s="7" t="s">
        <v>63</v>
      </c>
      <c r="B33" s="11"/>
      <c r="C33" s="2">
        <v>0.60416666666666663</v>
      </c>
      <c r="D33" s="2">
        <v>0.64236111111111105</v>
      </c>
      <c r="E33" s="2">
        <v>1.2361111111111112</v>
      </c>
      <c r="F33" s="2">
        <v>0.7895833333333333</v>
      </c>
      <c r="G33" s="30">
        <f t="shared" si="7"/>
        <v>3.2722222222222221</v>
      </c>
      <c r="H33" s="110"/>
      <c r="I33" s="122"/>
      <c r="J33" s="110"/>
      <c r="K33" s="123"/>
      <c r="L33" s="81"/>
      <c r="M33" s="127"/>
      <c r="N33" s="130"/>
      <c r="O33" s="81"/>
      <c r="P33" s="81"/>
      <c r="Q33" s="81"/>
      <c r="R33" s="130"/>
      <c r="S33" s="142" t="s">
        <v>64</v>
      </c>
      <c r="T33" s="130">
        <f t="shared" si="5"/>
        <v>3.2722222222222221</v>
      </c>
      <c r="U33" s="115">
        <v>77.5</v>
      </c>
      <c r="V33" s="53">
        <f t="shared" si="3"/>
        <v>465</v>
      </c>
      <c r="AA33" s="31">
        <v>576</v>
      </c>
      <c r="AC33" s="34">
        <f>SUM(W33:AA33)</f>
        <v>576</v>
      </c>
      <c r="AD33" s="156">
        <f>AC33-V33</f>
        <v>111</v>
      </c>
      <c r="AE33" s="157" t="s">
        <v>64</v>
      </c>
    </row>
    <row r="34" spans="1:31" ht="21" customHeight="1" x14ac:dyDescent="0.25">
      <c r="A34" s="62" t="s">
        <v>65</v>
      </c>
      <c r="B34" s="11"/>
      <c r="C34" s="2"/>
      <c r="D34" s="2">
        <v>0.83333333333333337</v>
      </c>
      <c r="E34" s="2">
        <v>1.9104166666666667</v>
      </c>
      <c r="F34" s="2">
        <v>0.36805555555555558</v>
      </c>
      <c r="G34" s="30">
        <f>SUM(B34:F35)</f>
        <v>4.3020833333333339</v>
      </c>
      <c r="H34" s="110">
        <v>2.0833333333333332E-2</v>
      </c>
      <c r="I34" s="122">
        <v>0.3263888888888889</v>
      </c>
      <c r="J34" s="110">
        <v>0.64583333333333337</v>
      </c>
      <c r="K34" s="123">
        <v>9.7222222222222224E-2</v>
      </c>
      <c r="L34" s="81">
        <v>0.34027777777777773</v>
      </c>
      <c r="M34" s="127">
        <v>0.33333333333333331</v>
      </c>
      <c r="N34" s="130"/>
      <c r="O34" s="81">
        <v>0.61805555555555558</v>
      </c>
      <c r="P34" s="81">
        <v>0.21249999999999999</v>
      </c>
      <c r="Q34" s="81">
        <v>0.3125</v>
      </c>
      <c r="R34" s="130"/>
      <c r="S34" s="143" t="s">
        <v>65</v>
      </c>
      <c r="T34" s="130">
        <f>SUM(G34:Q35)</f>
        <v>10.047222222222224</v>
      </c>
      <c r="U34" s="115">
        <v>240.75</v>
      </c>
      <c r="V34" s="53">
        <f t="shared" si="3"/>
        <v>1444.5</v>
      </c>
      <c r="Z34" s="31">
        <v>631</v>
      </c>
      <c r="AC34" s="34">
        <f>SUM(W34:AA35)</f>
        <v>1345.72</v>
      </c>
      <c r="AD34" s="103">
        <f>AC34-V34</f>
        <v>-98.779999999999973</v>
      </c>
      <c r="AE34" s="140" t="s">
        <v>66</v>
      </c>
    </row>
    <row r="35" spans="1:31" ht="14.25" customHeight="1" x14ac:dyDescent="0.25">
      <c r="A35" s="62" t="s">
        <v>67</v>
      </c>
      <c r="B35" s="11"/>
      <c r="C35" s="2"/>
      <c r="D35" s="2"/>
      <c r="E35" s="2">
        <v>0.54861111111111105</v>
      </c>
      <c r="F35" s="2">
        <v>0.64166666666666672</v>
      </c>
      <c r="G35" s="30"/>
      <c r="H35" s="110">
        <v>1.3888888888888888E-2</v>
      </c>
      <c r="I35" s="122">
        <v>0.10416666666666667</v>
      </c>
      <c r="J35" s="110"/>
      <c r="K35" s="123">
        <v>0.4513888888888889</v>
      </c>
      <c r="L35" s="81">
        <v>0.14583333333333334</v>
      </c>
      <c r="M35" s="127"/>
      <c r="N35" s="130">
        <v>4.1666666666666664E-2</v>
      </c>
      <c r="O35" s="81">
        <v>1.1840277777777779</v>
      </c>
      <c r="P35" s="81">
        <v>0.43402777777777773</v>
      </c>
      <c r="Q35" s="81">
        <v>0.46319444444444446</v>
      </c>
      <c r="R35" s="130"/>
      <c r="S35" s="143" t="s">
        <v>67</v>
      </c>
      <c r="T35" s="130"/>
      <c r="U35" s="115"/>
      <c r="V35" s="53"/>
      <c r="AA35" s="32">
        <v>714.72</v>
      </c>
      <c r="AD35" s="103"/>
      <c r="AE35" s="140" t="s">
        <v>67</v>
      </c>
    </row>
    <row r="36" spans="1:31" ht="14.25" customHeight="1" x14ac:dyDescent="0.25">
      <c r="A36" s="66" t="s">
        <v>68</v>
      </c>
      <c r="B36" s="11"/>
      <c r="C36" s="2"/>
      <c r="D36" s="2"/>
      <c r="E36" s="2"/>
      <c r="F36" s="2"/>
      <c r="G36" s="30"/>
      <c r="H36" s="110"/>
      <c r="I36" s="122"/>
      <c r="J36" s="110"/>
      <c r="K36" s="123"/>
      <c r="L36" s="81"/>
      <c r="M36" s="127"/>
      <c r="N36" s="130"/>
      <c r="O36" s="81"/>
      <c r="P36" s="81"/>
      <c r="Q36" s="81">
        <v>4.9305555555555554E-2</v>
      </c>
      <c r="R36" s="130"/>
      <c r="S36" s="144" t="s">
        <v>68</v>
      </c>
      <c r="T36" s="130">
        <f t="shared" ref="T36:T48" si="8">SUM(G36:Q36)</f>
        <v>4.9305555555555554E-2</v>
      </c>
      <c r="U36" s="115">
        <v>1.1599999999999999</v>
      </c>
      <c r="V36" s="53">
        <f t="shared" si="3"/>
        <v>6.9599999999999991</v>
      </c>
      <c r="AA36" s="32"/>
      <c r="AD36" s="103">
        <f t="shared" ref="AD36" si="9">AC36-V36</f>
        <v>-6.9599999999999991</v>
      </c>
      <c r="AE36" s="136" t="s">
        <v>68</v>
      </c>
    </row>
    <row r="37" spans="1:31" ht="14.25" customHeight="1" x14ac:dyDescent="0.25">
      <c r="A37" s="7" t="s">
        <v>69</v>
      </c>
      <c r="B37" s="11"/>
      <c r="C37" s="2"/>
      <c r="D37" s="2">
        <v>3.125E-2</v>
      </c>
      <c r="E37" s="2">
        <v>0.13194444444444445</v>
      </c>
      <c r="F37" s="2">
        <v>0.21527777777777779</v>
      </c>
      <c r="G37" s="30">
        <f t="shared" ref="G37:G45" si="10">SUM(B37:F37)</f>
        <v>0.37847222222222221</v>
      </c>
      <c r="H37" s="110"/>
      <c r="I37" s="122">
        <v>0.27083333333333331</v>
      </c>
      <c r="J37" s="110">
        <v>0.10416666666666667</v>
      </c>
      <c r="K37" s="123">
        <v>7.6388888888888895E-2</v>
      </c>
      <c r="L37" s="81"/>
      <c r="M37" s="127">
        <v>0.14583333333333334</v>
      </c>
      <c r="N37" s="130"/>
      <c r="O37" s="81"/>
      <c r="P37" s="81"/>
      <c r="Q37" s="81"/>
      <c r="R37" s="130"/>
      <c r="S37" s="142" t="s">
        <v>69</v>
      </c>
      <c r="T37" s="130">
        <f t="shared" si="8"/>
        <v>0.97569444444444453</v>
      </c>
      <c r="U37" s="115">
        <v>21.88</v>
      </c>
      <c r="V37" s="53">
        <f t="shared" ref="V37:V49" si="11">U37*6</f>
        <v>131.28</v>
      </c>
      <c r="AC37" s="34">
        <f>SUM(W37:AA37)</f>
        <v>0</v>
      </c>
      <c r="AD37" s="103">
        <f t="shared" ref="AD37:AD49" si="12">AC37-V37</f>
        <v>-131.28</v>
      </c>
      <c r="AE37" s="37" t="s">
        <v>69</v>
      </c>
    </row>
    <row r="38" spans="1:31" ht="14.25" customHeight="1" x14ac:dyDescent="0.25">
      <c r="A38" s="7" t="s">
        <v>70</v>
      </c>
      <c r="B38" s="11"/>
      <c r="C38" s="2"/>
      <c r="D38" s="2"/>
      <c r="E38" s="2">
        <v>0.54166666666666663</v>
      </c>
      <c r="F38" s="2">
        <v>2.463888888888889</v>
      </c>
      <c r="G38" s="30">
        <f t="shared" si="10"/>
        <v>3.0055555555555555</v>
      </c>
      <c r="H38" s="110"/>
      <c r="I38" s="122"/>
      <c r="J38" s="110"/>
      <c r="K38" s="123"/>
      <c r="L38" s="81"/>
      <c r="M38" s="127"/>
      <c r="N38" s="130"/>
      <c r="O38" s="81"/>
      <c r="P38" s="81"/>
      <c r="Q38" s="81"/>
      <c r="R38" s="130"/>
      <c r="S38" s="142" t="s">
        <v>71</v>
      </c>
      <c r="T38" s="130">
        <f t="shared" si="8"/>
        <v>3.0055555555555555</v>
      </c>
      <c r="U38" s="115">
        <v>68.58</v>
      </c>
      <c r="V38" s="53">
        <f t="shared" si="11"/>
        <v>411.48</v>
      </c>
      <c r="AA38" s="31">
        <v>402.6</v>
      </c>
      <c r="AC38" s="34">
        <f>SUM(W38:AA38)</f>
        <v>402.6</v>
      </c>
      <c r="AD38" s="103">
        <f>AC38-V38</f>
        <v>-8.8799999999999955</v>
      </c>
      <c r="AE38" s="38" t="s">
        <v>72</v>
      </c>
    </row>
    <row r="39" spans="1:31" ht="14.25" customHeight="1" x14ac:dyDescent="0.25">
      <c r="A39" s="7" t="s">
        <v>73</v>
      </c>
      <c r="B39" s="11"/>
      <c r="C39" s="2"/>
      <c r="D39" s="2"/>
      <c r="E39" s="2">
        <v>2.7777777777777776E-2</v>
      </c>
      <c r="F39" s="2">
        <v>4.8611111111111112E-2</v>
      </c>
      <c r="G39" s="30">
        <f t="shared" si="10"/>
        <v>7.6388888888888895E-2</v>
      </c>
      <c r="H39" s="110"/>
      <c r="I39" s="122"/>
      <c r="J39" s="110">
        <v>7.2916666666666671E-2</v>
      </c>
      <c r="K39" s="123"/>
      <c r="L39" s="81"/>
      <c r="M39" s="127"/>
      <c r="N39" s="130"/>
      <c r="O39" s="81"/>
      <c r="P39" s="81"/>
      <c r="Q39" s="81"/>
      <c r="R39" s="130"/>
      <c r="S39" s="142" t="s">
        <v>73</v>
      </c>
      <c r="T39" s="130">
        <f t="shared" si="8"/>
        <v>0.14930555555555558</v>
      </c>
      <c r="U39" s="115">
        <v>3.58</v>
      </c>
      <c r="V39" s="53">
        <f t="shared" si="11"/>
        <v>21.48</v>
      </c>
      <c r="AD39" s="103">
        <f t="shared" si="12"/>
        <v>-21.48</v>
      </c>
      <c r="AE39" s="37" t="s">
        <v>73</v>
      </c>
    </row>
    <row r="40" spans="1:31" ht="14.25" customHeight="1" x14ac:dyDescent="0.25">
      <c r="A40" s="7" t="s">
        <v>74</v>
      </c>
      <c r="B40" s="11">
        <v>0.36805555555555558</v>
      </c>
      <c r="C40" s="2"/>
      <c r="D40" s="2"/>
      <c r="E40" s="2"/>
      <c r="F40" s="2"/>
      <c r="G40" s="30">
        <f t="shared" si="10"/>
        <v>0.36805555555555558</v>
      </c>
      <c r="H40" s="110"/>
      <c r="I40" s="122"/>
      <c r="J40" s="110"/>
      <c r="K40" s="123"/>
      <c r="L40" s="81"/>
      <c r="M40" s="127"/>
      <c r="N40" s="130"/>
      <c r="O40" s="81"/>
      <c r="P40" s="81"/>
      <c r="Q40" s="81"/>
      <c r="R40" s="130"/>
      <c r="S40" s="142" t="s">
        <v>74</v>
      </c>
      <c r="T40" s="130">
        <f t="shared" si="8"/>
        <v>0.36805555555555558</v>
      </c>
      <c r="U40" s="115">
        <v>8.8000000000000007</v>
      </c>
      <c r="V40" s="53">
        <f t="shared" si="11"/>
        <v>52.800000000000004</v>
      </c>
      <c r="AD40" s="103">
        <f t="shared" si="12"/>
        <v>-52.800000000000004</v>
      </c>
      <c r="AE40" s="37" t="s">
        <v>74</v>
      </c>
    </row>
    <row r="41" spans="1:31" ht="14.25" customHeight="1" x14ac:dyDescent="0.25">
      <c r="A41" s="7" t="s">
        <v>75</v>
      </c>
      <c r="B41" s="11">
        <v>3.8194444444444441E-2</v>
      </c>
      <c r="C41" s="2"/>
      <c r="D41" s="2"/>
      <c r="E41" s="2"/>
      <c r="F41" s="2"/>
      <c r="G41" s="30">
        <f t="shared" si="10"/>
        <v>3.8194444444444441E-2</v>
      </c>
      <c r="H41" s="110"/>
      <c r="I41" s="122"/>
      <c r="J41" s="110"/>
      <c r="K41" s="123"/>
      <c r="L41" s="81"/>
      <c r="M41" s="127"/>
      <c r="N41" s="130"/>
      <c r="O41" s="81"/>
      <c r="P41" s="81"/>
      <c r="Q41" s="81"/>
      <c r="R41" s="130"/>
      <c r="S41" s="142" t="s">
        <v>75</v>
      </c>
      <c r="T41" s="130">
        <f t="shared" si="8"/>
        <v>3.8194444444444441E-2</v>
      </c>
      <c r="U41" s="115">
        <v>0.88</v>
      </c>
      <c r="V41" s="53">
        <f t="shared" si="11"/>
        <v>5.28</v>
      </c>
      <c r="AD41" s="103">
        <f t="shared" si="12"/>
        <v>-5.28</v>
      </c>
      <c r="AE41" s="37" t="s">
        <v>75</v>
      </c>
    </row>
    <row r="42" spans="1:31" ht="14.25" customHeight="1" x14ac:dyDescent="0.25">
      <c r="A42" s="7" t="s">
        <v>76</v>
      </c>
      <c r="B42" s="11"/>
      <c r="C42" s="2">
        <v>4.1666666666666664E-2</v>
      </c>
      <c r="D42" s="2">
        <v>6.9444444444444434E-2</v>
      </c>
      <c r="E42" s="2">
        <v>4.1666666666666664E-2</v>
      </c>
      <c r="F42" s="2"/>
      <c r="G42" s="30">
        <f t="shared" si="10"/>
        <v>0.15277777777777776</v>
      </c>
      <c r="H42" s="110"/>
      <c r="I42" s="122"/>
      <c r="J42" s="110"/>
      <c r="K42" s="123"/>
      <c r="L42" s="81"/>
      <c r="M42" s="127"/>
      <c r="N42" s="130"/>
      <c r="O42" s="81">
        <v>0.44375000000000003</v>
      </c>
      <c r="P42" s="81">
        <v>0.14097222222222222</v>
      </c>
      <c r="Q42" s="81">
        <v>0.33333333333333331</v>
      </c>
      <c r="R42" s="130"/>
      <c r="S42" s="142" t="s">
        <v>76</v>
      </c>
      <c r="T42" s="130">
        <f t="shared" si="8"/>
        <v>1.0708333333333333</v>
      </c>
      <c r="U42" s="115">
        <v>25.64</v>
      </c>
      <c r="V42" s="53">
        <f t="shared" si="11"/>
        <v>153.84</v>
      </c>
      <c r="Z42" s="31">
        <v>192</v>
      </c>
      <c r="AC42" s="34">
        <f>SUM(W42:AA42)</f>
        <v>192</v>
      </c>
      <c r="AD42" s="103">
        <f t="shared" si="12"/>
        <v>38.159999999999997</v>
      </c>
      <c r="AE42" s="38" t="s">
        <v>76</v>
      </c>
    </row>
    <row r="43" spans="1:31" ht="14.25" customHeight="1" x14ac:dyDescent="0.25">
      <c r="A43" s="7" t="s">
        <v>77</v>
      </c>
      <c r="B43" s="11"/>
      <c r="C43" s="2"/>
      <c r="D43" s="2">
        <v>0.1388888888888889</v>
      </c>
      <c r="E43" s="2"/>
      <c r="F43" s="2"/>
      <c r="G43" s="30">
        <f t="shared" si="10"/>
        <v>0.1388888888888889</v>
      </c>
      <c r="H43" s="110"/>
      <c r="I43" s="122"/>
      <c r="J43" s="110"/>
      <c r="K43" s="123"/>
      <c r="L43" s="81"/>
      <c r="M43" s="127"/>
      <c r="N43" s="130"/>
      <c r="O43" s="81"/>
      <c r="P43" s="81"/>
      <c r="Q43" s="81"/>
      <c r="R43" s="130"/>
      <c r="S43" s="142" t="s">
        <v>77</v>
      </c>
      <c r="T43" s="130">
        <f t="shared" si="8"/>
        <v>0.1388888888888889</v>
      </c>
      <c r="U43" s="115">
        <v>3.32</v>
      </c>
      <c r="V43" s="53">
        <f t="shared" si="11"/>
        <v>19.919999999999998</v>
      </c>
      <c r="AD43" s="103">
        <f t="shared" si="12"/>
        <v>-19.919999999999998</v>
      </c>
      <c r="AE43" s="37" t="s">
        <v>77</v>
      </c>
    </row>
    <row r="44" spans="1:31" ht="14.25" customHeight="1" x14ac:dyDescent="0.25">
      <c r="A44" s="7" t="s">
        <v>78</v>
      </c>
      <c r="B44" s="11">
        <v>1.0416666666666666E-2</v>
      </c>
      <c r="C44" s="2">
        <v>0.40277777777777773</v>
      </c>
      <c r="D44" s="2">
        <v>5.9027777777777783E-2</v>
      </c>
      <c r="E44" s="2"/>
      <c r="F44" s="2"/>
      <c r="G44" s="30">
        <f t="shared" si="10"/>
        <v>0.47222222222222221</v>
      </c>
      <c r="H44" s="110"/>
      <c r="I44" s="122"/>
      <c r="J44" s="110"/>
      <c r="K44" s="123"/>
      <c r="L44" s="81"/>
      <c r="M44" s="127"/>
      <c r="N44" s="130"/>
      <c r="O44" s="81"/>
      <c r="P44" s="81"/>
      <c r="Q44" s="81"/>
      <c r="R44" s="130"/>
      <c r="S44" s="142" t="s">
        <v>78</v>
      </c>
      <c r="T44" s="130">
        <f t="shared" si="8"/>
        <v>0.47222222222222221</v>
      </c>
      <c r="U44" s="115">
        <v>11.32</v>
      </c>
      <c r="V44" s="53">
        <f t="shared" si="11"/>
        <v>67.92</v>
      </c>
      <c r="AD44" s="103">
        <f t="shared" si="12"/>
        <v>-67.92</v>
      </c>
      <c r="AE44" s="37" t="s">
        <v>78</v>
      </c>
    </row>
    <row r="45" spans="1:31" ht="14.25" customHeight="1" x14ac:dyDescent="0.25">
      <c r="A45" s="7" t="s">
        <v>79</v>
      </c>
      <c r="B45" s="11">
        <v>0.63194444444444442</v>
      </c>
      <c r="C45" s="2"/>
      <c r="D45" s="2">
        <v>8.6805555555555566E-2</v>
      </c>
      <c r="E45" s="2"/>
      <c r="F45" s="2">
        <v>0.68680555555555556</v>
      </c>
      <c r="G45" s="30">
        <f t="shared" si="10"/>
        <v>1.4055555555555554</v>
      </c>
      <c r="H45" s="110"/>
      <c r="I45" s="122">
        <v>0.16666666666666666</v>
      </c>
      <c r="J45" s="110"/>
      <c r="K45" s="123"/>
      <c r="L45" s="81"/>
      <c r="M45" s="127"/>
      <c r="N45" s="130">
        <v>8.3333333333333329E-2</v>
      </c>
      <c r="O45" s="81"/>
      <c r="P45" s="81"/>
      <c r="Q45" s="81"/>
      <c r="R45" s="130"/>
      <c r="S45" s="142" t="s">
        <v>79</v>
      </c>
      <c r="T45" s="130">
        <f t="shared" si="8"/>
        <v>1.6555555555555554</v>
      </c>
      <c r="U45" s="115">
        <v>39.75</v>
      </c>
      <c r="V45" s="53">
        <f t="shared" si="11"/>
        <v>238.5</v>
      </c>
      <c r="X45" s="31">
        <v>350</v>
      </c>
      <c r="Z45" s="31">
        <v>2740.12</v>
      </c>
      <c r="AC45" s="34">
        <f>SUM(W45:AA45)</f>
        <v>3090.12</v>
      </c>
      <c r="AD45" s="105">
        <f t="shared" si="12"/>
        <v>2851.62</v>
      </c>
      <c r="AE45" s="42" t="s">
        <v>79</v>
      </c>
    </row>
    <row r="46" spans="1:31" ht="14.25" customHeight="1" x14ac:dyDescent="0.25">
      <c r="A46" s="7" t="s">
        <v>80</v>
      </c>
      <c r="B46" s="11"/>
      <c r="C46" s="2"/>
      <c r="D46" s="2"/>
      <c r="E46" s="2"/>
      <c r="F46" s="2"/>
      <c r="G46" s="30"/>
      <c r="H46" s="110"/>
      <c r="I46" s="122">
        <v>8.3333333333333329E-2</v>
      </c>
      <c r="J46" s="110">
        <v>3.125E-2</v>
      </c>
      <c r="K46" s="123"/>
      <c r="L46" s="81"/>
      <c r="M46" s="127"/>
      <c r="N46" s="130"/>
      <c r="O46" s="81"/>
      <c r="P46" s="81"/>
      <c r="Q46" s="81"/>
      <c r="R46" s="130"/>
      <c r="S46" s="142" t="s">
        <v>80</v>
      </c>
      <c r="T46" s="130">
        <f t="shared" si="8"/>
        <v>0.11458333333333333</v>
      </c>
      <c r="U46" s="115">
        <v>2.75</v>
      </c>
      <c r="V46" s="53">
        <f t="shared" si="11"/>
        <v>16.5</v>
      </c>
      <c r="AD46" s="103">
        <f t="shared" si="12"/>
        <v>-16.5</v>
      </c>
      <c r="AE46" s="38" t="s">
        <v>81</v>
      </c>
    </row>
    <row r="47" spans="1:31" ht="14.25" customHeight="1" x14ac:dyDescent="0.25">
      <c r="A47" s="7" t="s">
        <v>82</v>
      </c>
      <c r="B47" s="11"/>
      <c r="C47" s="2"/>
      <c r="D47" s="2"/>
      <c r="E47" s="2"/>
      <c r="F47" s="2">
        <v>0.37152777777777773</v>
      </c>
      <c r="G47" s="30">
        <f>SUM(B47:F47)</f>
        <v>0.37152777777777773</v>
      </c>
      <c r="H47" s="110">
        <v>0.1388888888888889</v>
      </c>
      <c r="I47" s="122"/>
      <c r="J47" s="110">
        <v>0.30208333333333331</v>
      </c>
      <c r="K47" s="123"/>
      <c r="L47" s="81"/>
      <c r="M47" s="127"/>
      <c r="N47" s="130"/>
      <c r="O47" s="81"/>
      <c r="P47" s="81"/>
      <c r="Q47" s="81"/>
      <c r="R47" s="130"/>
      <c r="S47" s="142" t="s">
        <v>83</v>
      </c>
      <c r="T47" s="130">
        <f t="shared" si="8"/>
        <v>0.8125</v>
      </c>
      <c r="U47" s="115">
        <v>19</v>
      </c>
      <c r="V47" s="53">
        <f t="shared" si="11"/>
        <v>114</v>
      </c>
      <c r="AD47" s="103">
        <f t="shared" si="12"/>
        <v>-114</v>
      </c>
      <c r="AE47" s="38" t="s">
        <v>83</v>
      </c>
    </row>
    <row r="48" spans="1:31" s="21" customFormat="1" ht="14.25" customHeight="1" x14ac:dyDescent="0.25">
      <c r="A48" s="8" t="s">
        <v>84</v>
      </c>
      <c r="B48" s="12"/>
      <c r="C48" s="6"/>
      <c r="D48" s="6"/>
      <c r="E48" s="6"/>
      <c r="F48" s="6"/>
      <c r="G48" s="127"/>
      <c r="H48" s="81"/>
      <c r="I48" s="123"/>
      <c r="J48" s="81"/>
      <c r="K48" s="123"/>
      <c r="L48" s="81"/>
      <c r="M48" s="127"/>
      <c r="N48" s="130"/>
      <c r="O48" s="81"/>
      <c r="P48" s="81"/>
      <c r="Q48" s="81">
        <v>4.1666666666666664E-2</v>
      </c>
      <c r="R48" s="130"/>
      <c r="S48" s="61" t="s">
        <v>84</v>
      </c>
      <c r="T48" s="130">
        <f t="shared" si="8"/>
        <v>4.1666666666666664E-2</v>
      </c>
      <c r="U48" s="115">
        <v>1</v>
      </c>
      <c r="V48" s="53">
        <f t="shared" si="11"/>
        <v>6</v>
      </c>
      <c r="W48" s="32"/>
      <c r="X48" s="32"/>
      <c r="Y48" s="32"/>
      <c r="Z48" s="32"/>
      <c r="AA48" s="32"/>
      <c r="AB48" s="32"/>
      <c r="AC48" s="90"/>
      <c r="AD48" s="103">
        <f t="shared" si="12"/>
        <v>-6</v>
      </c>
      <c r="AE48" s="38" t="s">
        <v>84</v>
      </c>
    </row>
    <row r="49" spans="1:32" ht="14.25" customHeight="1" x14ac:dyDescent="0.25">
      <c r="A49" s="62" t="s">
        <v>85</v>
      </c>
      <c r="B49" s="11">
        <v>0.98611111111111116</v>
      </c>
      <c r="C49" s="2">
        <v>1.8090277777777777</v>
      </c>
      <c r="D49" s="2">
        <v>0.86805555555555547</v>
      </c>
      <c r="E49" s="2">
        <v>1.4375</v>
      </c>
      <c r="F49" s="2">
        <v>0.83333333333333337</v>
      </c>
      <c r="G49" s="30">
        <f>SUM(B49:F50)</f>
        <v>7.5</v>
      </c>
      <c r="H49" s="110"/>
      <c r="I49" s="122"/>
      <c r="J49" s="110"/>
      <c r="K49" s="123"/>
      <c r="L49" s="81"/>
      <c r="M49" s="127"/>
      <c r="N49" s="130"/>
      <c r="O49" s="81"/>
      <c r="P49" s="81"/>
      <c r="Q49" s="81"/>
      <c r="R49" s="130"/>
      <c r="S49" s="142" t="s">
        <v>86</v>
      </c>
      <c r="T49" s="130">
        <f>SUM(G49:Q50)</f>
        <v>7.5</v>
      </c>
      <c r="U49" s="115">
        <v>180</v>
      </c>
      <c r="V49" s="53">
        <f t="shared" si="11"/>
        <v>1080</v>
      </c>
      <c r="X49" s="32">
        <v>427</v>
      </c>
      <c r="Y49" s="32"/>
      <c r="Z49" s="32">
        <v>406.24</v>
      </c>
      <c r="AA49" s="32">
        <v>685.8</v>
      </c>
      <c r="AB49" s="32"/>
      <c r="AC49" s="34">
        <f>SUM(W49:AA49)</f>
        <v>1519.04</v>
      </c>
      <c r="AD49" s="105">
        <f t="shared" si="12"/>
        <v>439.03999999999996</v>
      </c>
      <c r="AE49" s="42" t="s">
        <v>86</v>
      </c>
    </row>
    <row r="50" spans="1:32" ht="14.25" customHeight="1" x14ac:dyDescent="0.25">
      <c r="A50" s="64" t="s">
        <v>87</v>
      </c>
      <c r="B50" s="12">
        <v>1.5659722222222223</v>
      </c>
      <c r="C50" s="6"/>
      <c r="D50" s="6"/>
      <c r="E50" s="6"/>
      <c r="F50" s="6"/>
      <c r="G50" s="30"/>
      <c r="H50" s="110"/>
      <c r="I50" s="122"/>
      <c r="J50" s="110"/>
      <c r="K50" s="123"/>
      <c r="L50" s="81"/>
      <c r="M50" s="127"/>
      <c r="N50" s="130"/>
      <c r="O50" s="81"/>
      <c r="P50" s="81"/>
      <c r="Q50" s="81"/>
      <c r="R50" s="130"/>
      <c r="S50" s="61"/>
      <c r="T50" s="130"/>
      <c r="U50" s="115"/>
      <c r="V50" s="53"/>
      <c r="W50" s="32"/>
      <c r="X50" s="32"/>
      <c r="Y50" s="32"/>
      <c r="Z50" s="32"/>
      <c r="AA50" s="32"/>
      <c r="AB50" s="32"/>
      <c r="AD50" s="103"/>
      <c r="AE50" s="38"/>
    </row>
    <row r="51" spans="1:32" ht="14.25" customHeight="1" x14ac:dyDescent="0.25">
      <c r="A51" s="7" t="s">
        <v>88</v>
      </c>
      <c r="B51" s="11"/>
      <c r="C51" s="2">
        <v>0.96527777777777779</v>
      </c>
      <c r="D51" s="2">
        <v>1.0972222222222221</v>
      </c>
      <c r="E51" s="2">
        <v>0.53125</v>
      </c>
      <c r="F51" s="2">
        <v>0.13194444444444445</v>
      </c>
      <c r="G51" s="30">
        <f>SUM(B51:F51)</f>
        <v>2.7256944444444446</v>
      </c>
      <c r="H51" s="110"/>
      <c r="I51" s="122"/>
      <c r="J51" s="110"/>
      <c r="K51" s="123"/>
      <c r="L51" s="81"/>
      <c r="M51" s="127"/>
      <c r="N51" s="130"/>
      <c r="O51" s="81"/>
      <c r="P51" s="81"/>
      <c r="Q51" s="81"/>
      <c r="R51" s="130"/>
      <c r="S51" s="142" t="s">
        <v>89</v>
      </c>
      <c r="T51" s="130">
        <f t="shared" ref="T51:T62" si="13">SUM(G51:Q51)</f>
        <v>2.7256944444444446</v>
      </c>
      <c r="U51" s="115">
        <v>65.400000000000006</v>
      </c>
      <c r="V51" s="53">
        <f>U51*6</f>
        <v>392.40000000000003</v>
      </c>
      <c r="Z51" s="32">
        <v>1424.45</v>
      </c>
      <c r="AB51" s="155" t="s">
        <v>90</v>
      </c>
      <c r="AC51" s="34">
        <f>SUM(W51:AA51)</f>
        <v>1424.45</v>
      </c>
      <c r="AD51" s="105">
        <f>AC51-V51</f>
        <v>1032.05</v>
      </c>
      <c r="AE51" s="42" t="s">
        <v>88</v>
      </c>
    </row>
    <row r="52" spans="1:32" ht="14.25" customHeight="1" x14ac:dyDescent="0.25">
      <c r="A52" s="7" t="s">
        <v>91</v>
      </c>
      <c r="B52" s="11"/>
      <c r="C52" s="2"/>
      <c r="D52" s="2"/>
      <c r="E52" s="2">
        <v>7.2916666666666671E-2</v>
      </c>
      <c r="F52" s="2"/>
      <c r="G52" s="30">
        <f>SUM(B52:F52)</f>
        <v>7.2916666666666671E-2</v>
      </c>
      <c r="H52" s="110"/>
      <c r="I52" s="122"/>
      <c r="J52" s="110"/>
      <c r="K52" s="123"/>
      <c r="L52" s="81"/>
      <c r="M52" s="127"/>
      <c r="N52" s="130"/>
      <c r="O52" s="81"/>
      <c r="P52" s="81"/>
      <c r="Q52" s="81"/>
      <c r="R52" s="130"/>
      <c r="S52" s="142" t="s">
        <v>91</v>
      </c>
      <c r="T52" s="130">
        <f t="shared" si="13"/>
        <v>7.2916666666666671E-2</v>
      </c>
      <c r="U52" s="115">
        <v>1.75</v>
      </c>
      <c r="V52" s="53">
        <f>U52*6</f>
        <v>10.5</v>
      </c>
      <c r="AD52" s="103"/>
      <c r="AE52" s="38" t="s">
        <v>91</v>
      </c>
    </row>
    <row r="53" spans="1:32" ht="14.25" customHeight="1" x14ac:dyDescent="0.25">
      <c r="A53" s="7" t="s">
        <v>92</v>
      </c>
      <c r="B53" s="11"/>
      <c r="C53" s="2"/>
      <c r="D53" s="2">
        <v>4.1666666666666664E-2</v>
      </c>
      <c r="E53" s="2">
        <v>0.11458333333333333</v>
      </c>
      <c r="F53" s="2">
        <v>0.11458333333333333</v>
      </c>
      <c r="G53" s="30">
        <f>SUM(B53:F53)</f>
        <v>0.27083333333333331</v>
      </c>
      <c r="H53" s="110">
        <v>6.9444444444444441E-3</v>
      </c>
      <c r="I53" s="122"/>
      <c r="J53" s="110"/>
      <c r="K53" s="123"/>
      <c r="L53" s="81"/>
      <c r="M53" s="127"/>
      <c r="N53" s="130"/>
      <c r="O53" s="81">
        <v>4.4229166666666666</v>
      </c>
      <c r="P53" s="81">
        <v>1.9118055555555555</v>
      </c>
      <c r="Q53" s="81">
        <v>1.1909722222222221</v>
      </c>
      <c r="R53" s="130"/>
      <c r="S53" s="142" t="s">
        <v>92</v>
      </c>
      <c r="T53" s="130">
        <f t="shared" si="13"/>
        <v>7.8034722222222221</v>
      </c>
      <c r="U53" s="115">
        <v>174.58</v>
      </c>
      <c r="V53" s="53">
        <f t="shared" ref="V53:V62" si="14">U53*6</f>
        <v>1047.48</v>
      </c>
      <c r="Y53" s="31">
        <v>750.54</v>
      </c>
      <c r="AC53" s="34">
        <f>SUM(W53:AA53)</f>
        <v>750.54</v>
      </c>
      <c r="AD53" s="104">
        <f>AC53-V53</f>
        <v>-296.94000000000005</v>
      </c>
      <c r="AE53" s="65" t="s">
        <v>92</v>
      </c>
    </row>
    <row r="54" spans="1:32" ht="14.25" customHeight="1" x14ac:dyDescent="0.25">
      <c r="A54" s="7" t="s">
        <v>93</v>
      </c>
      <c r="B54" s="11">
        <v>0.16319444444444445</v>
      </c>
      <c r="C54" s="3">
        <v>0.30902777777777779</v>
      </c>
      <c r="D54" s="3">
        <v>0.63541666666666663</v>
      </c>
      <c r="E54" s="3">
        <v>0.50694444444444442</v>
      </c>
      <c r="F54" s="3">
        <v>0.25</v>
      </c>
      <c r="G54" s="30">
        <f>SUM(B54:F54)</f>
        <v>1.8645833333333333</v>
      </c>
      <c r="H54" s="110">
        <v>4.1666666666666664E-2</v>
      </c>
      <c r="I54" s="122"/>
      <c r="J54" s="110"/>
      <c r="K54" s="123"/>
      <c r="L54" s="81"/>
      <c r="M54" s="127"/>
      <c r="N54" s="130"/>
      <c r="O54" s="81"/>
      <c r="P54" s="81"/>
      <c r="Q54" s="81"/>
      <c r="R54" s="130" t="s">
        <v>94</v>
      </c>
      <c r="S54" s="142" t="s">
        <v>93</v>
      </c>
      <c r="T54" s="130">
        <f t="shared" si="13"/>
        <v>1.90625</v>
      </c>
      <c r="U54" s="115">
        <v>44.08</v>
      </c>
      <c r="V54" s="53">
        <f t="shared" si="14"/>
        <v>264.48</v>
      </c>
      <c r="AD54" s="104">
        <f>AC54-V54</f>
        <v>-264.48</v>
      </c>
      <c r="AE54" s="65" t="s">
        <v>93</v>
      </c>
    </row>
    <row r="55" spans="1:32" ht="14.25" customHeight="1" x14ac:dyDescent="0.25">
      <c r="A55" s="8" t="s">
        <v>95</v>
      </c>
      <c r="B55" s="12"/>
      <c r="C55" s="6">
        <v>0.35069444444444442</v>
      </c>
      <c r="D55" s="6">
        <v>0.64583333333333337</v>
      </c>
      <c r="E55" s="6">
        <v>1.0208333333333333</v>
      </c>
      <c r="F55" s="6">
        <v>0.76736111111111116</v>
      </c>
      <c r="G55" s="30">
        <f>SUM(B55:F55)</f>
        <v>2.7847222222222223</v>
      </c>
      <c r="H55" s="110"/>
      <c r="I55" s="122">
        <v>0.41666666666666669</v>
      </c>
      <c r="J55" s="110"/>
      <c r="K55" s="123"/>
      <c r="L55" s="81"/>
      <c r="M55" s="127"/>
      <c r="N55" s="130"/>
      <c r="O55" s="81"/>
      <c r="P55" s="81"/>
      <c r="Q55" s="81"/>
      <c r="R55" s="130"/>
      <c r="S55" s="61" t="s">
        <v>96</v>
      </c>
      <c r="T55" s="130">
        <f t="shared" si="13"/>
        <v>3.2013888888888888</v>
      </c>
      <c r="U55" s="115">
        <v>76.8</v>
      </c>
      <c r="V55" s="53">
        <f t="shared" si="14"/>
        <v>460.79999999999995</v>
      </c>
      <c r="W55" s="32"/>
      <c r="X55" s="32"/>
      <c r="Y55" s="32">
        <v>300</v>
      </c>
      <c r="Z55" s="32"/>
      <c r="AA55" s="32"/>
      <c r="AB55" s="155" t="s">
        <v>97</v>
      </c>
      <c r="AC55" s="34">
        <f t="shared" ref="AC55" si="15">SUM(W55:AA55)</f>
        <v>300</v>
      </c>
      <c r="AD55" s="103">
        <f>AC55-V55</f>
        <v>-160.79999999999995</v>
      </c>
      <c r="AE55" s="38" t="s">
        <v>96</v>
      </c>
    </row>
    <row r="56" spans="1:32" ht="14.25" customHeight="1" x14ac:dyDescent="0.25">
      <c r="A56" s="8" t="s">
        <v>98</v>
      </c>
      <c r="B56" s="12"/>
      <c r="C56" s="6"/>
      <c r="D56" s="6"/>
      <c r="E56" s="6"/>
      <c r="F56" s="6"/>
      <c r="G56" s="30"/>
      <c r="H56" s="110"/>
      <c r="I56" s="122"/>
      <c r="J56" s="110"/>
      <c r="K56" s="123"/>
      <c r="L56" s="81"/>
      <c r="M56" s="127"/>
      <c r="N56" s="130"/>
      <c r="O56" s="81"/>
      <c r="P56" s="81"/>
      <c r="Q56" s="81">
        <v>0.11319444444444444</v>
      </c>
      <c r="R56" s="130"/>
      <c r="S56" s="61" t="s">
        <v>98</v>
      </c>
      <c r="T56" s="130">
        <f t="shared" si="13"/>
        <v>0.11319444444444444</v>
      </c>
      <c r="U56" s="115">
        <v>2.75</v>
      </c>
      <c r="V56" s="53">
        <f t="shared" si="14"/>
        <v>16.5</v>
      </c>
      <c r="W56" s="32"/>
      <c r="X56" s="32"/>
      <c r="Y56" s="32"/>
      <c r="Z56" s="32"/>
      <c r="AA56" s="32"/>
      <c r="AB56" s="32"/>
      <c r="AD56" s="103"/>
      <c r="AE56" s="38" t="s">
        <v>98</v>
      </c>
    </row>
    <row r="57" spans="1:32" ht="14.25" customHeight="1" x14ac:dyDescent="0.25">
      <c r="A57" s="8" t="s">
        <v>99</v>
      </c>
      <c r="B57" s="12"/>
      <c r="C57" s="6"/>
      <c r="D57" s="6">
        <v>0.3576388888888889</v>
      </c>
      <c r="E57" s="6"/>
      <c r="F57" s="6"/>
      <c r="G57" s="30">
        <f t="shared" ref="G57:G62" si="16">SUM(B57:F57)</f>
        <v>0.3576388888888889</v>
      </c>
      <c r="H57" s="110"/>
      <c r="I57" s="122"/>
      <c r="J57" s="110"/>
      <c r="K57" s="123"/>
      <c r="L57" s="81"/>
      <c r="M57" s="127"/>
      <c r="N57" s="130"/>
      <c r="O57" s="81"/>
      <c r="P57" s="81"/>
      <c r="Q57" s="81"/>
      <c r="R57" s="130"/>
      <c r="S57" s="61" t="s">
        <v>99</v>
      </c>
      <c r="T57" s="130">
        <f t="shared" si="13"/>
        <v>0.3576388888888889</v>
      </c>
      <c r="U57" s="115">
        <v>8.58</v>
      </c>
      <c r="V57" s="53">
        <f t="shared" si="14"/>
        <v>51.480000000000004</v>
      </c>
      <c r="W57" s="32"/>
      <c r="X57" s="32"/>
      <c r="Y57" s="32"/>
      <c r="Z57" s="32"/>
      <c r="AA57" s="32"/>
      <c r="AB57" s="32"/>
      <c r="AD57" s="103">
        <f t="shared" ref="AD57:AD62" si="17">AC57-V57</f>
        <v>-51.480000000000004</v>
      </c>
      <c r="AE57" s="38" t="s">
        <v>99</v>
      </c>
    </row>
    <row r="58" spans="1:32" s="21" customFormat="1" ht="14.25" customHeight="1" x14ac:dyDescent="0.25">
      <c r="A58" s="8" t="s">
        <v>100</v>
      </c>
      <c r="B58" s="12"/>
      <c r="C58" s="6">
        <v>0.29236111111111113</v>
      </c>
      <c r="D58" s="6">
        <v>7.9861111111111105E-2</v>
      </c>
      <c r="E58" s="6">
        <v>0.11319444444444444</v>
      </c>
      <c r="F58" s="6"/>
      <c r="G58" s="30">
        <f t="shared" si="16"/>
        <v>0.48541666666666666</v>
      </c>
      <c r="H58" s="110">
        <v>5.5555555555555552E-2</v>
      </c>
      <c r="I58" s="123"/>
      <c r="J58" s="81">
        <v>6.25E-2</v>
      </c>
      <c r="K58" s="123">
        <v>1.9583333333333333</v>
      </c>
      <c r="L58" s="81">
        <v>2.2291666666666665</v>
      </c>
      <c r="M58" s="127">
        <v>0.95833333333333337</v>
      </c>
      <c r="N58" s="130">
        <v>0.125</v>
      </c>
      <c r="O58" s="81">
        <v>0.57500000000000007</v>
      </c>
      <c r="P58" s="81">
        <v>0.33402777777777781</v>
      </c>
      <c r="Q58" s="81">
        <v>0.81180555555555556</v>
      </c>
      <c r="R58" s="130"/>
      <c r="S58" s="61" t="s">
        <v>100</v>
      </c>
      <c r="T58" s="130">
        <f t="shared" si="13"/>
        <v>7.5951388888888891</v>
      </c>
      <c r="U58" s="115">
        <v>182.32</v>
      </c>
      <c r="V58" s="53">
        <f t="shared" si="14"/>
        <v>1093.92</v>
      </c>
      <c r="W58" s="32"/>
      <c r="X58" s="32">
        <v>4000</v>
      </c>
      <c r="Y58" s="32">
        <v>350</v>
      </c>
      <c r="Z58" s="32"/>
      <c r="AA58" s="32"/>
      <c r="AB58" s="32"/>
      <c r="AC58" s="34">
        <f>SUM(W58:AA58)</f>
        <v>4350</v>
      </c>
      <c r="AD58" s="105">
        <f t="shared" si="17"/>
        <v>3256.08</v>
      </c>
      <c r="AE58" s="42" t="s">
        <v>100</v>
      </c>
    </row>
    <row r="59" spans="1:32" ht="14.25" customHeight="1" x14ac:dyDescent="0.25">
      <c r="A59" s="37" t="s">
        <v>101</v>
      </c>
      <c r="B59" s="11">
        <v>0.20833333333333334</v>
      </c>
      <c r="C59" s="2">
        <v>0.43055555555555558</v>
      </c>
      <c r="D59" s="2"/>
      <c r="E59" s="2"/>
      <c r="F59" s="2">
        <v>0.11458333333333333</v>
      </c>
      <c r="G59" s="30">
        <f t="shared" si="16"/>
        <v>0.75347222222222232</v>
      </c>
      <c r="H59" s="110">
        <v>0.10416666666666667</v>
      </c>
      <c r="I59" s="122"/>
      <c r="J59" s="110"/>
      <c r="K59" s="123"/>
      <c r="L59" s="81"/>
      <c r="M59" s="127"/>
      <c r="N59" s="130"/>
      <c r="O59" s="81"/>
      <c r="P59" s="81"/>
      <c r="Q59" s="81"/>
      <c r="R59" s="130"/>
      <c r="S59" s="142" t="s">
        <v>101</v>
      </c>
      <c r="T59" s="130">
        <f t="shared" si="13"/>
        <v>0.85763888888888895</v>
      </c>
      <c r="U59" s="115">
        <v>20.58</v>
      </c>
      <c r="V59" s="53">
        <f t="shared" si="14"/>
        <v>123.47999999999999</v>
      </c>
      <c r="AD59" s="103">
        <f t="shared" si="17"/>
        <v>-123.47999999999999</v>
      </c>
      <c r="AE59" s="37" t="s">
        <v>101</v>
      </c>
    </row>
    <row r="60" spans="1:32" ht="14.25" customHeight="1" x14ac:dyDescent="0.25">
      <c r="A60" s="7" t="s">
        <v>102</v>
      </c>
      <c r="B60" s="11">
        <v>0.4826388888888889</v>
      </c>
      <c r="C60" s="2">
        <v>0.44791666666666669</v>
      </c>
      <c r="D60" s="2">
        <v>1.2118055555555556</v>
      </c>
      <c r="E60" s="2">
        <v>0.51388888888888895</v>
      </c>
      <c r="F60" s="2">
        <v>0.71180555555555547</v>
      </c>
      <c r="G60" s="30">
        <f t="shared" si="16"/>
        <v>3.3680555555555554</v>
      </c>
      <c r="H60" s="110"/>
      <c r="I60" s="122"/>
      <c r="J60" s="110"/>
      <c r="K60" s="123"/>
      <c r="L60" s="81"/>
      <c r="M60" s="127"/>
      <c r="N60" s="130"/>
      <c r="O60" s="81"/>
      <c r="P60" s="81"/>
      <c r="Q60" s="81"/>
      <c r="R60" s="130" t="s">
        <v>94</v>
      </c>
      <c r="S60" s="142" t="s">
        <v>102</v>
      </c>
      <c r="T60" s="130">
        <f t="shared" si="13"/>
        <v>3.3680555555555554</v>
      </c>
      <c r="U60" s="115">
        <v>80.8</v>
      </c>
      <c r="V60" s="53">
        <f t="shared" si="14"/>
        <v>484.79999999999995</v>
      </c>
      <c r="X60" s="31">
        <v>186.4</v>
      </c>
      <c r="AC60" s="34">
        <f>SUM(W60:AA60)</f>
        <v>186.4</v>
      </c>
      <c r="AD60" s="104">
        <f t="shared" si="17"/>
        <v>-298.39999999999998</v>
      </c>
      <c r="AE60" s="65" t="s">
        <v>102</v>
      </c>
    </row>
    <row r="61" spans="1:32" ht="14.25" customHeight="1" x14ac:dyDescent="0.25">
      <c r="A61" s="66" t="s">
        <v>103</v>
      </c>
      <c r="B61" s="11">
        <v>1.3993055555555556</v>
      </c>
      <c r="C61" s="2">
        <v>0.77777777777777779</v>
      </c>
      <c r="D61" s="2">
        <v>1.2881944444444444</v>
      </c>
      <c r="E61" s="2">
        <v>2.4847222222222221</v>
      </c>
      <c r="F61" s="2">
        <v>1.2361111111111112</v>
      </c>
      <c r="G61" s="30">
        <f t="shared" si="16"/>
        <v>7.18611111111111</v>
      </c>
      <c r="H61" s="110"/>
      <c r="I61" s="122"/>
      <c r="J61" s="110"/>
      <c r="K61" s="123"/>
      <c r="L61" s="81"/>
      <c r="M61" s="127"/>
      <c r="N61" s="130"/>
      <c r="O61" s="81"/>
      <c r="P61" s="81"/>
      <c r="Q61" s="81"/>
      <c r="R61" s="130"/>
      <c r="S61" s="142" t="s">
        <v>103</v>
      </c>
      <c r="T61" s="130">
        <f t="shared" si="13"/>
        <v>7.18611111111111</v>
      </c>
      <c r="U61" s="115">
        <v>172.5</v>
      </c>
      <c r="V61" s="53">
        <f t="shared" si="14"/>
        <v>1035</v>
      </c>
      <c r="W61" s="31">
        <v>1076.04</v>
      </c>
      <c r="AA61" s="32">
        <v>966.61</v>
      </c>
      <c r="AB61" s="32"/>
      <c r="AC61" s="90">
        <f>SUM(W61:AA61)</f>
        <v>2042.65</v>
      </c>
      <c r="AD61" s="105">
        <f t="shared" si="17"/>
        <v>1007.6500000000001</v>
      </c>
      <c r="AE61" s="42" t="s">
        <v>104</v>
      </c>
    </row>
    <row r="62" spans="1:32" ht="14.25" customHeight="1" x14ac:dyDescent="0.25">
      <c r="A62" s="7" t="s">
        <v>105</v>
      </c>
      <c r="B62" s="11">
        <v>4.833333333333333</v>
      </c>
      <c r="C62" s="2">
        <v>4.3291666666666666</v>
      </c>
      <c r="D62" s="2">
        <v>3.4201388888888888</v>
      </c>
      <c r="E62" s="2">
        <v>1.5159722222222223</v>
      </c>
      <c r="F62" s="2">
        <v>1.3062500000000001</v>
      </c>
      <c r="G62" s="30">
        <f t="shared" si="16"/>
        <v>15.404861111111112</v>
      </c>
      <c r="H62" s="110"/>
      <c r="I62" s="122"/>
      <c r="J62" s="110"/>
      <c r="K62" s="123"/>
      <c r="L62" s="81"/>
      <c r="M62" s="127"/>
      <c r="N62" s="130"/>
      <c r="O62" s="81">
        <v>4.5138888888888888E-2</v>
      </c>
      <c r="P62" s="81"/>
      <c r="Q62" s="81"/>
      <c r="R62" s="130"/>
      <c r="S62" s="142" t="s">
        <v>105</v>
      </c>
      <c r="T62" s="130">
        <f t="shared" si="13"/>
        <v>15.450000000000001</v>
      </c>
      <c r="U62" s="115">
        <v>370.8</v>
      </c>
      <c r="V62" s="53">
        <f t="shared" si="14"/>
        <v>2224.8000000000002</v>
      </c>
      <c r="W62" s="31">
        <v>1110</v>
      </c>
      <c r="X62" s="31">
        <v>325.33</v>
      </c>
      <c r="Z62" s="31">
        <v>567.29999999999995</v>
      </c>
      <c r="AA62" s="31">
        <v>190.5</v>
      </c>
      <c r="AB62" s="155" t="s">
        <v>157</v>
      </c>
      <c r="AC62" s="34">
        <f>SUM(W62:AA62)</f>
        <v>2193.13</v>
      </c>
      <c r="AD62" s="104">
        <f t="shared" si="17"/>
        <v>-31.670000000000073</v>
      </c>
      <c r="AE62" s="65" t="s">
        <v>105</v>
      </c>
      <c r="AF62" s="1" t="s">
        <v>156</v>
      </c>
    </row>
    <row r="63" spans="1:32" ht="16.5" customHeight="1" x14ac:dyDescent="0.25">
      <c r="A63" s="98"/>
      <c r="G63" s="30"/>
      <c r="H63" s="110"/>
      <c r="I63" s="112"/>
      <c r="K63" s="112"/>
      <c r="M63" s="109"/>
      <c r="N63" s="131"/>
      <c r="P63" s="109"/>
      <c r="R63" s="131"/>
      <c r="T63" s="130"/>
      <c r="U63" s="119"/>
      <c r="V63" s="119"/>
      <c r="W63" s="120"/>
      <c r="AD63" s="121"/>
      <c r="AE63" s="106"/>
    </row>
    <row r="64" spans="1:32" ht="14.25" customHeight="1" x14ac:dyDescent="0.25">
      <c r="A64" s="62" t="s">
        <v>106</v>
      </c>
      <c r="B64" s="11">
        <v>1.9305555555555556</v>
      </c>
      <c r="C64" s="2">
        <v>2.3090277777777777</v>
      </c>
      <c r="D64" s="2">
        <v>2.2743055555555558</v>
      </c>
      <c r="E64" s="2">
        <v>2.3680555555555558</v>
      </c>
      <c r="F64" s="2">
        <v>0.91319444444444453</v>
      </c>
      <c r="G64" s="30">
        <f>SUM(B64:F65)</f>
        <v>10.15625</v>
      </c>
      <c r="H64" s="110"/>
      <c r="I64" s="122">
        <v>0.49652777777777773</v>
      </c>
      <c r="J64" s="110"/>
      <c r="K64" s="123"/>
      <c r="L64" s="81"/>
      <c r="M64" s="127"/>
      <c r="N64" s="130"/>
      <c r="O64" s="81"/>
      <c r="P64" s="81"/>
      <c r="Q64" s="81"/>
      <c r="R64" s="130"/>
      <c r="S64" s="142" t="s">
        <v>107</v>
      </c>
      <c r="T64" s="130">
        <f>SUM(G64:Q65)</f>
        <v>10.652777777777779</v>
      </c>
      <c r="U64" s="115">
        <v>255.64</v>
      </c>
      <c r="V64" s="53">
        <f>U64*6</f>
        <v>1533.84</v>
      </c>
      <c r="X64" s="32">
        <v>930.98</v>
      </c>
      <c r="Y64" s="32">
        <v>251.66</v>
      </c>
      <c r="Z64" s="32"/>
      <c r="AA64" s="32">
        <v>619.76</v>
      </c>
      <c r="AB64" s="32"/>
      <c r="AC64" s="34">
        <f>SUM(W64:AA64)</f>
        <v>1802.4</v>
      </c>
      <c r="AD64" s="105">
        <f>AC64-V64</f>
        <v>268.56000000000017</v>
      </c>
      <c r="AE64" s="42" t="s">
        <v>108</v>
      </c>
    </row>
    <row r="65" spans="1:31" ht="14.25" customHeight="1" x14ac:dyDescent="0.25">
      <c r="A65" s="62" t="s">
        <v>109</v>
      </c>
      <c r="B65" s="11"/>
      <c r="C65" s="2"/>
      <c r="D65" s="2"/>
      <c r="E65" s="2">
        <v>0.3611111111111111</v>
      </c>
      <c r="F65" s="2"/>
      <c r="G65" s="30"/>
      <c r="H65" s="110"/>
      <c r="I65" s="122"/>
      <c r="J65" s="110"/>
      <c r="K65" s="123"/>
      <c r="L65" s="81"/>
      <c r="M65" s="127"/>
      <c r="N65" s="130"/>
      <c r="O65" s="81"/>
      <c r="P65" s="81"/>
      <c r="Q65" s="81"/>
      <c r="R65" s="130"/>
      <c r="S65" s="142" t="s">
        <v>109</v>
      </c>
      <c r="T65" s="130"/>
      <c r="U65" s="115"/>
      <c r="V65" s="53"/>
      <c r="X65" s="32"/>
      <c r="Y65" s="32"/>
      <c r="Z65" s="32"/>
      <c r="AA65" s="32"/>
      <c r="AB65" s="32"/>
      <c r="AD65" s="103"/>
      <c r="AE65" s="67" t="s">
        <v>109</v>
      </c>
    </row>
    <row r="66" spans="1:31" ht="14.25" customHeight="1" x14ac:dyDescent="0.25">
      <c r="A66" s="66" t="s">
        <v>110</v>
      </c>
      <c r="B66" s="11"/>
      <c r="C66" s="2"/>
      <c r="D66" s="2"/>
      <c r="E66" s="2">
        <v>0.34027777777777773</v>
      </c>
      <c r="F66" s="2"/>
      <c r="G66" s="30">
        <f>SUM(B66:F66)</f>
        <v>0.34027777777777773</v>
      </c>
      <c r="H66" s="110"/>
      <c r="I66" s="122"/>
      <c r="J66" s="110"/>
      <c r="K66" s="123"/>
      <c r="L66" s="81"/>
      <c r="M66" s="127"/>
      <c r="N66" s="130"/>
      <c r="O66" s="81"/>
      <c r="P66" s="81">
        <v>4.4444444444444446E-2</v>
      </c>
      <c r="Q66" s="81">
        <v>0.26180555555555557</v>
      </c>
      <c r="R66" s="130"/>
      <c r="S66" s="142" t="s">
        <v>110</v>
      </c>
      <c r="T66" s="130">
        <f t="shared" ref="T66:T74" si="18">SUM(G66:Q66)</f>
        <v>0.64652777777777781</v>
      </c>
      <c r="U66" s="115">
        <v>12.64</v>
      </c>
      <c r="V66" s="53">
        <f t="shared" ref="V66:V74" si="19">U66*6</f>
        <v>75.84</v>
      </c>
      <c r="X66" s="32"/>
      <c r="Y66" s="32"/>
      <c r="Z66" s="32"/>
      <c r="AA66" s="32"/>
      <c r="AB66" s="32"/>
      <c r="AD66" s="103">
        <f>AC66-V66</f>
        <v>-75.84</v>
      </c>
      <c r="AE66" s="37" t="s">
        <v>110</v>
      </c>
    </row>
    <row r="67" spans="1:31" ht="14.25" customHeight="1" x14ac:dyDescent="0.25">
      <c r="A67" s="66" t="s">
        <v>111</v>
      </c>
      <c r="B67" s="11"/>
      <c r="C67" s="2"/>
      <c r="D67" s="2"/>
      <c r="E67" s="2"/>
      <c r="F67" s="2">
        <v>4.8611111111111112E-2</v>
      </c>
      <c r="G67" s="30">
        <f>SUM(B67:F67)</f>
        <v>4.8611111111111112E-2</v>
      </c>
      <c r="H67" s="110"/>
      <c r="I67" s="122"/>
      <c r="J67" s="110"/>
      <c r="K67" s="123"/>
      <c r="L67" s="81"/>
      <c r="M67" s="127"/>
      <c r="N67" s="130"/>
      <c r="O67" s="81"/>
      <c r="P67" s="81"/>
      <c r="Q67" s="81"/>
      <c r="R67" s="130"/>
      <c r="S67" s="144" t="s">
        <v>111</v>
      </c>
      <c r="T67" s="130">
        <f t="shared" si="18"/>
        <v>4.8611111111111112E-2</v>
      </c>
      <c r="U67" s="115">
        <v>1.1599999999999999</v>
      </c>
      <c r="V67" s="53">
        <f t="shared" si="19"/>
        <v>6.9599999999999991</v>
      </c>
      <c r="X67" s="32"/>
      <c r="Y67" s="32"/>
      <c r="Z67" s="32"/>
      <c r="AA67" s="32"/>
      <c r="AB67" s="32"/>
      <c r="AD67" s="103"/>
      <c r="AE67" s="67" t="s">
        <v>111</v>
      </c>
    </row>
    <row r="68" spans="1:31" ht="14.25" customHeight="1" x14ac:dyDescent="0.25">
      <c r="A68" s="7" t="s">
        <v>112</v>
      </c>
      <c r="B68" s="11"/>
      <c r="C68" s="2"/>
      <c r="D68" s="2"/>
      <c r="E68" s="2"/>
      <c r="F68" s="2"/>
      <c r="G68" s="30"/>
      <c r="H68" s="110"/>
      <c r="I68" s="122">
        <v>8.3333333333333329E-2</v>
      </c>
      <c r="J68" s="110"/>
      <c r="K68" s="123"/>
      <c r="L68" s="81"/>
      <c r="M68" s="127"/>
      <c r="N68" s="130"/>
      <c r="O68" s="81"/>
      <c r="P68" s="81"/>
      <c r="Q68" s="81"/>
      <c r="R68" s="130"/>
      <c r="S68" s="142" t="s">
        <v>112</v>
      </c>
      <c r="T68" s="130">
        <f t="shared" si="18"/>
        <v>8.3333333333333329E-2</v>
      </c>
      <c r="U68" s="115">
        <v>2</v>
      </c>
      <c r="V68" s="53">
        <f t="shared" si="19"/>
        <v>12</v>
      </c>
      <c r="X68" s="32"/>
      <c r="Y68" s="32"/>
      <c r="Z68" s="32"/>
      <c r="AA68" s="32"/>
      <c r="AB68" s="32"/>
      <c r="AD68" s="103">
        <f>AC68-V68</f>
        <v>-12</v>
      </c>
      <c r="AE68" s="38" t="s">
        <v>113</v>
      </c>
    </row>
    <row r="69" spans="1:31" ht="14.25" customHeight="1" x14ac:dyDescent="0.25">
      <c r="A69" s="7" t="s">
        <v>114</v>
      </c>
      <c r="B69" s="11"/>
      <c r="C69" s="2"/>
      <c r="D69" s="2"/>
      <c r="E69" s="2"/>
      <c r="F69" s="2"/>
      <c r="G69" s="30"/>
      <c r="H69" s="110"/>
      <c r="I69" s="122">
        <v>0.1875</v>
      </c>
      <c r="J69" s="110"/>
      <c r="K69" s="123"/>
      <c r="L69" s="81"/>
      <c r="M69" s="127"/>
      <c r="N69" s="130"/>
      <c r="O69" s="81"/>
      <c r="P69" s="81"/>
      <c r="Q69" s="81"/>
      <c r="R69" s="130"/>
      <c r="S69" s="142" t="s">
        <v>114</v>
      </c>
      <c r="T69" s="130">
        <f t="shared" si="18"/>
        <v>0.1875</v>
      </c>
      <c r="U69" s="115">
        <v>4.5</v>
      </c>
      <c r="V69" s="53">
        <f t="shared" si="19"/>
        <v>27</v>
      </c>
      <c r="X69" s="32"/>
      <c r="Y69" s="32"/>
      <c r="Z69" s="32"/>
      <c r="AA69" s="32"/>
      <c r="AB69" s="32"/>
      <c r="AD69" s="103">
        <f>AC69-V69</f>
        <v>-27</v>
      </c>
      <c r="AE69" s="37" t="s">
        <v>114</v>
      </c>
    </row>
    <row r="70" spans="1:31" ht="14.25" customHeight="1" x14ac:dyDescent="0.25">
      <c r="A70" s="7" t="s">
        <v>115</v>
      </c>
      <c r="B70" s="11">
        <v>4.8611111111111112E-2</v>
      </c>
      <c r="C70" s="2"/>
      <c r="D70" s="2"/>
      <c r="E70" s="2"/>
      <c r="F70" s="2"/>
      <c r="G70" s="30">
        <f>SUM(B70:F70)</f>
        <v>4.8611111111111112E-2</v>
      </c>
      <c r="H70" s="110"/>
      <c r="I70" s="122"/>
      <c r="J70" s="110"/>
      <c r="K70" s="123"/>
      <c r="L70" s="81"/>
      <c r="M70" s="127"/>
      <c r="N70" s="130"/>
      <c r="O70" s="81"/>
      <c r="P70" s="81"/>
      <c r="Q70" s="81"/>
      <c r="R70" s="130"/>
      <c r="S70" s="142" t="s">
        <v>115</v>
      </c>
      <c r="T70" s="130">
        <f t="shared" si="18"/>
        <v>4.8611111111111112E-2</v>
      </c>
      <c r="U70" s="115">
        <v>1.1599999999999999</v>
      </c>
      <c r="V70" s="53">
        <f t="shared" si="19"/>
        <v>6.9599999999999991</v>
      </c>
      <c r="X70" s="32"/>
      <c r="Y70" s="32"/>
      <c r="Z70" s="32"/>
      <c r="AA70" s="32"/>
      <c r="AB70" s="32"/>
      <c r="AD70" s="103">
        <f>AC70-V70</f>
        <v>-6.9599999999999991</v>
      </c>
      <c r="AE70" s="37" t="s">
        <v>116</v>
      </c>
    </row>
    <row r="71" spans="1:31" ht="14.25" customHeight="1" x14ac:dyDescent="0.25">
      <c r="A71" s="7" t="s">
        <v>117</v>
      </c>
      <c r="B71" s="11"/>
      <c r="C71" s="2"/>
      <c r="D71" s="2">
        <v>1.9756944444444444</v>
      </c>
      <c r="E71" s="2">
        <v>2.6770833333333335</v>
      </c>
      <c r="F71" s="2">
        <v>0.72291666666666676</v>
      </c>
      <c r="G71" s="30">
        <f>SUM(B71:F71)</f>
        <v>5.3756944444444441</v>
      </c>
      <c r="H71" s="110"/>
      <c r="I71" s="122"/>
      <c r="J71" s="110"/>
      <c r="K71" s="123"/>
      <c r="L71" s="81"/>
      <c r="M71" s="127"/>
      <c r="N71" s="130"/>
      <c r="O71" s="81"/>
      <c r="P71" s="81"/>
      <c r="Q71" s="81"/>
      <c r="R71" s="130"/>
      <c r="S71" s="142" t="s">
        <v>117</v>
      </c>
      <c r="T71" s="130">
        <f t="shared" si="18"/>
        <v>5.3756944444444441</v>
      </c>
      <c r="U71" s="115">
        <v>129</v>
      </c>
      <c r="V71" s="53">
        <f t="shared" si="19"/>
        <v>774</v>
      </c>
      <c r="X71" s="32"/>
      <c r="Y71" s="32"/>
      <c r="Z71" s="32">
        <v>835.37</v>
      </c>
      <c r="AA71" s="32"/>
      <c r="AB71" s="32"/>
      <c r="AC71" s="34">
        <f>SUM(W71:AA71)</f>
        <v>835.37</v>
      </c>
      <c r="AD71" s="103">
        <f>AC71-V71</f>
        <v>61.370000000000005</v>
      </c>
      <c r="AE71" s="38" t="s">
        <v>117</v>
      </c>
    </row>
    <row r="72" spans="1:31" ht="14.25" customHeight="1" x14ac:dyDescent="0.25">
      <c r="A72" s="7" t="s">
        <v>118</v>
      </c>
      <c r="B72" s="11"/>
      <c r="C72" s="2"/>
      <c r="D72" s="2"/>
      <c r="E72" s="2"/>
      <c r="F72" s="2"/>
      <c r="G72" s="30"/>
      <c r="H72" s="110"/>
      <c r="I72" s="122"/>
      <c r="J72" s="110"/>
      <c r="K72" s="123"/>
      <c r="L72" s="81"/>
      <c r="M72" s="127"/>
      <c r="N72" s="130"/>
      <c r="O72" s="81"/>
      <c r="P72" s="81"/>
      <c r="Q72" s="81">
        <v>1.0416666666666666E-2</v>
      </c>
      <c r="R72" s="130"/>
      <c r="S72" s="142" t="s">
        <v>118</v>
      </c>
      <c r="T72" s="130">
        <f t="shared" si="18"/>
        <v>1.0416666666666666E-2</v>
      </c>
      <c r="U72" s="115">
        <v>0.25</v>
      </c>
      <c r="V72" s="53">
        <f t="shared" si="19"/>
        <v>1.5</v>
      </c>
      <c r="X72" s="32"/>
      <c r="Y72" s="32"/>
      <c r="Z72" s="32"/>
      <c r="AA72" s="32"/>
      <c r="AB72" s="32"/>
      <c r="AD72" s="103"/>
      <c r="AE72" s="38" t="s">
        <v>118</v>
      </c>
    </row>
    <row r="73" spans="1:31" s="21" customFormat="1" ht="14.25" customHeight="1" x14ac:dyDescent="0.25">
      <c r="A73" s="8" t="s">
        <v>119</v>
      </c>
      <c r="B73" s="12"/>
      <c r="C73" s="6">
        <v>2.7062500000000003</v>
      </c>
      <c r="D73" s="6">
        <v>0.24305555555555555</v>
      </c>
      <c r="E73" s="6">
        <v>4.03125</v>
      </c>
      <c r="F73" s="6">
        <v>4.1666666666666664E-2</v>
      </c>
      <c r="G73" s="30">
        <f>SUM(B73:F73)</f>
        <v>7.022222222222223</v>
      </c>
      <c r="H73" s="110"/>
      <c r="I73" s="123">
        <v>4.1666666666666664E-2</v>
      </c>
      <c r="J73" s="81">
        <v>8.3333333333333329E-2</v>
      </c>
      <c r="K73" s="123">
        <v>0.9375</v>
      </c>
      <c r="L73" s="81">
        <v>1.0069444444444444</v>
      </c>
      <c r="M73" s="127">
        <v>8.3333333333333329E-2</v>
      </c>
      <c r="N73" s="130"/>
      <c r="O73" s="81">
        <v>0.19236111111111112</v>
      </c>
      <c r="P73" s="81">
        <v>0.99791666666666667</v>
      </c>
      <c r="Q73" s="81"/>
      <c r="R73" s="130"/>
      <c r="S73" s="61" t="s">
        <v>120</v>
      </c>
      <c r="T73" s="130">
        <f t="shared" si="18"/>
        <v>10.365277777777779</v>
      </c>
      <c r="U73" s="115">
        <v>248.75</v>
      </c>
      <c r="V73" s="53">
        <f t="shared" si="19"/>
        <v>1492.5</v>
      </c>
      <c r="W73" s="32"/>
      <c r="X73" s="32"/>
      <c r="Y73" s="32">
        <v>512.61</v>
      </c>
      <c r="Z73" s="32">
        <v>535.20000000000005</v>
      </c>
      <c r="AA73" s="32">
        <v>535.20000000000005</v>
      </c>
      <c r="AB73" s="158"/>
      <c r="AC73" s="34">
        <f>SUM(W73:AA73)</f>
        <v>1583.01</v>
      </c>
      <c r="AD73" s="103">
        <f>AC73-V73</f>
        <v>90.509999999999991</v>
      </c>
      <c r="AE73" s="38" t="s">
        <v>121</v>
      </c>
    </row>
    <row r="74" spans="1:31" ht="14.25" customHeight="1" thickBot="1" x14ac:dyDescent="0.3">
      <c r="A74" s="9" t="s">
        <v>122</v>
      </c>
      <c r="B74" s="13"/>
      <c r="C74" s="10"/>
      <c r="D74" s="10"/>
      <c r="E74" s="10"/>
      <c r="F74" s="2"/>
      <c r="G74" s="30"/>
      <c r="H74" s="110"/>
      <c r="I74" s="124"/>
      <c r="J74" s="111"/>
      <c r="K74" s="126">
        <v>0.74305555555555547</v>
      </c>
      <c r="L74" s="82">
        <v>0.79166666666666663</v>
      </c>
      <c r="M74" s="128">
        <v>0.3125</v>
      </c>
      <c r="N74" s="132"/>
      <c r="O74" s="82">
        <v>0.3263888888888889</v>
      </c>
      <c r="P74" s="82">
        <v>6.9444444444444434E-2</v>
      </c>
      <c r="Q74" s="82">
        <v>8.4722222222222213E-2</v>
      </c>
      <c r="R74" s="132"/>
      <c r="S74" s="145" t="s">
        <v>122</v>
      </c>
      <c r="T74" s="130">
        <f t="shared" si="18"/>
        <v>2.3277777777777779</v>
      </c>
      <c r="U74" s="117">
        <v>55.25</v>
      </c>
      <c r="V74" s="118">
        <f t="shared" si="19"/>
        <v>331.5</v>
      </c>
      <c r="W74" s="33"/>
      <c r="X74" s="33"/>
      <c r="Y74" s="33"/>
      <c r="Z74" s="33">
        <v>300</v>
      </c>
      <c r="AA74" s="33"/>
      <c r="AB74" s="33"/>
      <c r="AC74" s="34">
        <f>SUM(W74:AA74)</f>
        <v>300</v>
      </c>
      <c r="AD74" s="103">
        <f>AC74-V74</f>
        <v>-31.5</v>
      </c>
      <c r="AE74" s="139" t="s">
        <v>122</v>
      </c>
    </row>
    <row r="75" spans="1:31" ht="24" customHeight="1" thickBot="1" x14ac:dyDescent="0.3">
      <c r="A75" s="44"/>
      <c r="B75" s="45"/>
      <c r="C75" s="46"/>
      <c r="D75" s="46"/>
      <c r="E75" s="46"/>
      <c r="F75" s="46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146"/>
      <c r="S75" s="46"/>
      <c r="T75" s="47"/>
      <c r="U75" s="51" t="s">
        <v>123</v>
      </c>
      <c r="V75" s="52">
        <f>SUM(V3:V74)</f>
        <v>25632.899999999991</v>
      </c>
      <c r="W75" s="50"/>
      <c r="X75" s="48"/>
      <c r="Y75" s="49" t="s">
        <v>124</v>
      </c>
      <c r="Z75" s="49"/>
      <c r="AA75" s="49"/>
      <c r="AB75" s="49"/>
      <c r="AC75" s="99">
        <f>SUM(AC3:AC74)</f>
        <v>38121.606000000007</v>
      </c>
      <c r="AD75" s="101">
        <f>SUM(AD3:AD54,AD57:AD74)</f>
        <v>12684.966000000002</v>
      </c>
      <c r="AE75" s="107" t="s">
        <v>125</v>
      </c>
    </row>
    <row r="76" spans="1:31" ht="21.75" customHeight="1" x14ac:dyDescent="0.25">
      <c r="A76" s="8" t="s">
        <v>126</v>
      </c>
      <c r="B76" s="4">
        <f t="shared" ref="B76:Q76" si="20">SUM(B3:B74)</f>
        <v>29.010416666666664</v>
      </c>
      <c r="C76" s="4">
        <f t="shared" si="20"/>
        <v>30.992361111111116</v>
      </c>
      <c r="D76" s="4">
        <f t="shared" si="20"/>
        <v>27.643750000000001</v>
      </c>
      <c r="E76" s="4">
        <f t="shared" si="20"/>
        <v>37.701388888888893</v>
      </c>
      <c r="F76" s="4">
        <f t="shared" si="20"/>
        <v>19.827083333333334</v>
      </c>
      <c r="G76" s="4">
        <f t="shared" si="20"/>
        <v>145.17499999999998</v>
      </c>
      <c r="H76" s="4">
        <f t="shared" si="20"/>
        <v>0.6875</v>
      </c>
      <c r="I76" s="4">
        <f t="shared" si="20"/>
        <v>2.666666666666667</v>
      </c>
      <c r="J76" s="4">
        <f t="shared" si="20"/>
        <v>1.8194444444444446</v>
      </c>
      <c r="K76" s="4">
        <f t="shared" si="20"/>
        <v>4.4930555555555554</v>
      </c>
      <c r="L76" s="4">
        <f t="shared" si="20"/>
        <v>4.9895833333333339</v>
      </c>
      <c r="M76" s="4">
        <f t="shared" si="20"/>
        <v>1.8333333333333333</v>
      </c>
      <c r="N76" s="4">
        <f t="shared" si="20"/>
        <v>0.25</v>
      </c>
      <c r="O76" s="4">
        <f t="shared" si="20"/>
        <v>8.4187500000000011</v>
      </c>
      <c r="P76" s="4">
        <f t="shared" si="20"/>
        <v>4.5770833333333334</v>
      </c>
      <c r="Q76" s="4">
        <f t="shared" si="20"/>
        <v>4.5944444444444441</v>
      </c>
      <c r="R76" s="4"/>
      <c r="U76" s="83"/>
      <c r="V76" s="88"/>
      <c r="Y76" s="34"/>
      <c r="Z76" s="34"/>
      <c r="AA76" s="34"/>
      <c r="AB76" s="34"/>
      <c r="AC76" s="90"/>
      <c r="AD76" s="91"/>
      <c r="AE76" s="92"/>
    </row>
    <row r="77" spans="1:31" s="86" customFormat="1" ht="40.5" customHeight="1" x14ac:dyDescent="0.25">
      <c r="A77" s="84" t="s">
        <v>127</v>
      </c>
      <c r="B77" s="85">
        <f>696*6</f>
        <v>4176</v>
      </c>
      <c r="C77" s="85">
        <f>744*6</f>
        <v>4464</v>
      </c>
      <c r="D77" s="85">
        <f>664*6</f>
        <v>3984</v>
      </c>
      <c r="E77" s="85">
        <f>905*6</f>
        <v>5430</v>
      </c>
      <c r="F77" s="85">
        <f>464*6</f>
        <v>2784</v>
      </c>
      <c r="G77" s="85">
        <f>3472*6</f>
        <v>20832</v>
      </c>
      <c r="H77" s="85">
        <f>15*6</f>
        <v>90</v>
      </c>
      <c r="I77" s="85">
        <f>64*6</f>
        <v>384</v>
      </c>
      <c r="J77" s="85">
        <f>44*6</f>
        <v>264</v>
      </c>
      <c r="K77" s="85">
        <f>108*6</f>
        <v>648</v>
      </c>
      <c r="L77" s="85">
        <f>120*6</f>
        <v>720</v>
      </c>
      <c r="M77" s="85">
        <f>44*6</f>
        <v>264</v>
      </c>
      <c r="N77" s="85">
        <f>6*6</f>
        <v>36</v>
      </c>
      <c r="O77" s="85">
        <f>202*6</f>
        <v>1212</v>
      </c>
      <c r="P77" s="85">
        <f>110*6</f>
        <v>660</v>
      </c>
      <c r="Q77" s="85">
        <f>88*6</f>
        <v>528</v>
      </c>
      <c r="R77" s="85"/>
      <c r="U77" s="87"/>
      <c r="V77" s="89"/>
      <c r="W77" s="85"/>
      <c r="X77" s="85"/>
      <c r="Y77" s="85"/>
      <c r="Z77" s="85"/>
      <c r="AA77" s="85"/>
      <c r="AB77" s="85"/>
      <c r="AC77" s="93"/>
      <c r="AD77" s="89"/>
      <c r="AE77" s="94"/>
    </row>
    <row r="78" spans="1:31" s="86" customFormat="1" ht="24" customHeight="1" thickBot="1" x14ac:dyDescent="0.3">
      <c r="A78" s="84" t="s">
        <v>128</v>
      </c>
      <c r="B78" s="85">
        <f>696*6</f>
        <v>4176</v>
      </c>
      <c r="C78" s="85">
        <f>744*6</f>
        <v>4464</v>
      </c>
      <c r="D78" s="85">
        <f>D77+I77+K77+O77</f>
        <v>6228</v>
      </c>
      <c r="E78" s="85">
        <f>E77+J77+L77+P77</f>
        <v>7074</v>
      </c>
      <c r="F78" s="85">
        <f>F77+H77+M77+N77+Q77</f>
        <v>3702</v>
      </c>
      <c r="G78" s="85">
        <f>B78+C78+D78+E78</f>
        <v>21942</v>
      </c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U78" s="87"/>
      <c r="V78" s="89"/>
      <c r="W78" s="85"/>
      <c r="X78" s="85"/>
      <c r="Y78" s="85"/>
      <c r="Z78" s="85"/>
      <c r="AA78" s="85"/>
      <c r="AB78" s="85"/>
      <c r="AC78" s="93"/>
      <c r="AD78" s="89"/>
      <c r="AE78" s="94"/>
    </row>
    <row r="79" spans="1:31" s="39" customFormat="1" ht="83.25" customHeight="1" thickBot="1" x14ac:dyDescent="0.3">
      <c r="A79" s="69" t="s">
        <v>12</v>
      </c>
      <c r="B79" s="70" t="s">
        <v>13</v>
      </c>
      <c r="C79" s="71" t="s">
        <v>14</v>
      </c>
      <c r="D79" s="71" t="s">
        <v>15</v>
      </c>
      <c r="E79" s="71" t="s">
        <v>16</v>
      </c>
      <c r="F79" s="71" t="s">
        <v>17</v>
      </c>
      <c r="G79" s="71" t="s">
        <v>18</v>
      </c>
      <c r="H79" s="129" t="s">
        <v>17</v>
      </c>
      <c r="I79" s="70" t="s">
        <v>15</v>
      </c>
      <c r="J79" s="71" t="s">
        <v>16</v>
      </c>
      <c r="K79" s="95" t="s">
        <v>15</v>
      </c>
      <c r="L79" s="71" t="s">
        <v>16</v>
      </c>
      <c r="M79" s="72" t="s">
        <v>17</v>
      </c>
      <c r="N79" s="129" t="s">
        <v>17</v>
      </c>
      <c r="O79" s="96" t="s">
        <v>15</v>
      </c>
      <c r="P79" s="71" t="s">
        <v>16</v>
      </c>
      <c r="Q79" s="71" t="s">
        <v>17</v>
      </c>
      <c r="R79" s="129" t="s">
        <v>19</v>
      </c>
      <c r="S79" s="80" t="s">
        <v>12</v>
      </c>
      <c r="T79" s="71" t="s">
        <v>129</v>
      </c>
      <c r="U79" s="71" t="s">
        <v>129</v>
      </c>
      <c r="V79" s="71" t="s">
        <v>129</v>
      </c>
      <c r="W79" s="96" t="s">
        <v>23</v>
      </c>
      <c r="X79" s="96" t="s">
        <v>24</v>
      </c>
      <c r="Y79" s="96" t="s">
        <v>25</v>
      </c>
      <c r="Z79" s="96" t="s">
        <v>26</v>
      </c>
      <c r="AA79" s="96" t="s">
        <v>27</v>
      </c>
      <c r="AB79" s="96" t="s">
        <v>28</v>
      </c>
      <c r="AC79" s="96" t="s">
        <v>29</v>
      </c>
      <c r="AD79" s="159" t="s">
        <v>11</v>
      </c>
      <c r="AE79" s="160"/>
    </row>
    <row r="80" spans="1:31" ht="123.75" customHeight="1" thickBot="1" x14ac:dyDescent="0.3">
      <c r="A80" s="148"/>
      <c r="B80" s="172" t="s">
        <v>0</v>
      </c>
      <c r="C80" s="173"/>
      <c r="D80" s="173"/>
      <c r="E80" s="173"/>
      <c r="F80" s="173"/>
      <c r="G80" s="178"/>
      <c r="H80" s="134" t="s">
        <v>130</v>
      </c>
      <c r="I80" s="174" t="s">
        <v>2</v>
      </c>
      <c r="J80" s="179"/>
      <c r="K80" s="163" t="s">
        <v>3</v>
      </c>
      <c r="L80" s="164"/>
      <c r="M80" s="165"/>
      <c r="N80" s="133" t="s">
        <v>131</v>
      </c>
      <c r="O80" s="166" t="s">
        <v>5</v>
      </c>
      <c r="P80" s="167"/>
      <c r="Q80" s="168"/>
      <c r="R80" s="149" t="s">
        <v>6</v>
      </c>
      <c r="S80" s="150"/>
      <c r="T80" s="151" t="s">
        <v>132</v>
      </c>
      <c r="U80" s="152" t="s">
        <v>133</v>
      </c>
      <c r="V80" s="137" t="s">
        <v>9</v>
      </c>
      <c r="W80" s="170" t="s">
        <v>10</v>
      </c>
      <c r="X80" s="169"/>
      <c r="Y80" s="169"/>
      <c r="Z80" s="169"/>
      <c r="AA80" s="169"/>
      <c r="AB80" s="169"/>
      <c r="AC80" s="171"/>
      <c r="AD80" s="161"/>
      <c r="AE80" s="162"/>
    </row>
    <row r="81" spans="1:31" ht="14.25" customHeight="1" x14ac:dyDescent="0.25">
      <c r="C81" s="1"/>
      <c r="D81" s="1"/>
      <c r="E81" s="1"/>
      <c r="F81" s="1"/>
      <c r="U81" s="83"/>
      <c r="V81" s="88"/>
      <c r="Y81" s="34"/>
      <c r="Z81" s="34"/>
      <c r="AA81" s="34"/>
      <c r="AB81" s="34"/>
      <c r="AC81" s="90"/>
      <c r="AD81" s="91"/>
      <c r="AE81" s="92"/>
    </row>
    <row r="82" spans="1:31" ht="27" customHeight="1" thickBot="1" x14ac:dyDescent="0.3">
      <c r="A82" s="22" t="s">
        <v>134</v>
      </c>
      <c r="B82" s="23"/>
      <c r="C82" s="24"/>
      <c r="D82" s="24"/>
      <c r="E82" s="1"/>
      <c r="F82" s="1"/>
      <c r="S82" s="22" t="s">
        <v>135</v>
      </c>
      <c r="Y82" s="34"/>
      <c r="Z82" s="34"/>
      <c r="AA82" s="34"/>
      <c r="AB82" s="34"/>
      <c r="AD82" s="43"/>
    </row>
    <row r="83" spans="1:31" ht="14.25" customHeight="1" thickTop="1" x14ac:dyDescent="0.25">
      <c r="A83" s="14" t="s">
        <v>136</v>
      </c>
      <c r="B83" s="15"/>
      <c r="C83" s="14"/>
      <c r="D83" s="16">
        <v>0.4548611111111111</v>
      </c>
      <c r="E83" s="1"/>
      <c r="F83" s="1"/>
      <c r="S83" s="14" t="s">
        <v>136</v>
      </c>
      <c r="Y83" s="34"/>
      <c r="Z83" s="34"/>
      <c r="AA83" s="34"/>
      <c r="AB83" s="34"/>
      <c r="AD83" s="43"/>
    </row>
    <row r="84" spans="1:31" ht="14.25" customHeight="1" x14ac:dyDescent="0.25">
      <c r="A84" s="14" t="s">
        <v>137</v>
      </c>
      <c r="B84" s="15"/>
      <c r="C84" s="14"/>
      <c r="D84" s="16">
        <v>0.4236111111111111</v>
      </c>
      <c r="E84" s="1"/>
      <c r="F84" s="1"/>
      <c r="S84" s="14" t="s">
        <v>137</v>
      </c>
      <c r="AE84" s="61"/>
    </row>
    <row r="85" spans="1:31" s="14" customFormat="1" ht="14.25" customHeight="1" x14ac:dyDescent="0.2">
      <c r="A85" s="14" t="s">
        <v>138</v>
      </c>
      <c r="B85" s="15"/>
      <c r="D85" s="16">
        <v>0</v>
      </c>
      <c r="E85" s="16"/>
      <c r="F85" s="16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4" t="s">
        <v>138</v>
      </c>
      <c r="V85" s="29"/>
      <c r="W85" s="35"/>
      <c r="X85" s="35"/>
      <c r="Y85" s="35"/>
      <c r="Z85" s="35"/>
      <c r="AA85" s="35"/>
      <c r="AB85" s="35"/>
      <c r="AC85" s="36"/>
      <c r="AD85" s="41"/>
    </row>
    <row r="86" spans="1:31" s="14" customFormat="1" ht="14.25" customHeight="1" thickBot="1" x14ac:dyDescent="0.25">
      <c r="A86" s="18" t="s">
        <v>139</v>
      </c>
      <c r="B86" s="19"/>
      <c r="C86" s="18"/>
      <c r="D86" s="20">
        <v>6.9444444444444434E-2</v>
      </c>
      <c r="E86" s="16"/>
      <c r="F86" s="16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8" t="s">
        <v>139</v>
      </c>
      <c r="V86" s="29"/>
      <c r="W86" s="35"/>
      <c r="X86" s="35"/>
      <c r="Y86" s="35"/>
      <c r="Z86" s="35"/>
      <c r="AA86" s="35"/>
      <c r="AB86" s="35"/>
      <c r="AC86" s="36"/>
      <c r="AD86" s="41"/>
    </row>
    <row r="87" spans="1:31" s="14" customFormat="1" ht="14.25" customHeight="1" thickTop="1" thickBot="1" x14ac:dyDescent="0.25">
      <c r="A87" s="25" t="s">
        <v>140</v>
      </c>
      <c r="B87" s="26"/>
      <c r="C87" s="26"/>
      <c r="D87" s="27">
        <f>SUM(D83:D86)</f>
        <v>0.94791666666666663</v>
      </c>
      <c r="E87" s="16"/>
      <c r="F87" s="16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25" t="s">
        <v>140</v>
      </c>
      <c r="V87" s="29"/>
      <c r="W87" s="35"/>
      <c r="X87" s="35"/>
      <c r="Y87" s="35"/>
      <c r="Z87" s="35"/>
      <c r="AA87" s="35"/>
      <c r="AB87" s="35"/>
      <c r="AC87" s="36"/>
      <c r="AD87" s="41"/>
    </row>
    <row r="88" spans="1:31" s="14" customFormat="1" ht="14.25" customHeight="1" thickTop="1" x14ac:dyDescent="0.25">
      <c r="E88" s="16"/>
      <c r="F88" s="16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T88" s="54" t="s">
        <v>141</v>
      </c>
      <c r="U88" s="55"/>
      <c r="V88" s="29"/>
      <c r="W88" s="35"/>
      <c r="X88" s="35"/>
      <c r="Y88" s="35"/>
      <c r="Z88" s="35"/>
      <c r="AA88" s="35"/>
      <c r="AB88" s="35"/>
      <c r="AC88" s="36"/>
      <c r="AD88" s="41"/>
    </row>
    <row r="89" spans="1:31" s="14" customFormat="1" ht="14.25" customHeight="1" x14ac:dyDescent="0.25">
      <c r="E89" s="63"/>
      <c r="F89" s="63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T89" s="56" t="s">
        <v>142</v>
      </c>
      <c r="U89" s="57">
        <v>0.08</v>
      </c>
      <c r="V89" s="29"/>
      <c r="W89" s="35"/>
      <c r="X89" s="35"/>
      <c r="Y89" s="35"/>
      <c r="Z89" s="35"/>
      <c r="AA89" s="35"/>
      <c r="AB89" s="35"/>
      <c r="AC89" s="36"/>
      <c r="AD89" s="41"/>
    </row>
    <row r="90" spans="1:31" ht="14.25" customHeight="1" x14ac:dyDescent="0.25">
      <c r="T90" s="56" t="s">
        <v>143</v>
      </c>
      <c r="U90" s="57">
        <v>0.16</v>
      </c>
    </row>
    <row r="91" spans="1:31" ht="14.25" customHeight="1" x14ac:dyDescent="0.25">
      <c r="T91" s="56" t="s">
        <v>144</v>
      </c>
      <c r="U91" s="57">
        <v>0.25</v>
      </c>
    </row>
    <row r="92" spans="1:31" ht="16.5" customHeight="1" x14ac:dyDescent="0.25">
      <c r="T92" s="56" t="s">
        <v>145</v>
      </c>
      <c r="U92" s="57">
        <v>0.32</v>
      </c>
    </row>
    <row r="93" spans="1:31" ht="16.5" customHeight="1" x14ac:dyDescent="0.25">
      <c r="T93" s="56" t="s">
        <v>146</v>
      </c>
      <c r="U93" s="57">
        <v>0.4</v>
      </c>
    </row>
    <row r="94" spans="1:31" ht="16.5" customHeight="1" x14ac:dyDescent="0.25">
      <c r="T94" s="56" t="s">
        <v>147</v>
      </c>
      <c r="U94" s="57">
        <v>0.5</v>
      </c>
    </row>
    <row r="95" spans="1:31" ht="16.5" customHeight="1" x14ac:dyDescent="0.25">
      <c r="T95" s="56" t="s">
        <v>148</v>
      </c>
      <c r="U95" s="57">
        <v>0.57999999999999996</v>
      </c>
    </row>
    <row r="96" spans="1:31" ht="16.5" customHeight="1" x14ac:dyDescent="0.25">
      <c r="T96" s="56" t="s">
        <v>149</v>
      </c>
      <c r="U96" s="57">
        <v>0.64</v>
      </c>
    </row>
    <row r="97" spans="20:28" ht="16.5" customHeight="1" x14ac:dyDescent="0.3">
      <c r="T97" s="56" t="s">
        <v>150</v>
      </c>
      <c r="U97" s="57">
        <v>0.75</v>
      </c>
      <c r="Z97" s="60"/>
      <c r="AA97" s="60"/>
      <c r="AB97" s="60"/>
    </row>
    <row r="98" spans="20:28" ht="16.5" customHeight="1" x14ac:dyDescent="0.25">
      <c r="T98" s="56" t="s">
        <v>151</v>
      </c>
      <c r="U98" s="57">
        <v>0.8</v>
      </c>
    </row>
    <row r="99" spans="20:28" ht="16.5" customHeight="1" x14ac:dyDescent="0.25">
      <c r="T99" s="56" t="s">
        <v>152</v>
      </c>
      <c r="U99" s="57">
        <v>0.88</v>
      </c>
    </row>
    <row r="100" spans="20:28" ht="16.5" customHeight="1" x14ac:dyDescent="0.25">
      <c r="T100" s="56" t="s">
        <v>153</v>
      </c>
      <c r="U100" s="57">
        <v>1</v>
      </c>
    </row>
    <row r="101" spans="20:28" ht="16.5" customHeight="1" thickBot="1" x14ac:dyDescent="0.3">
      <c r="T101" s="58"/>
      <c r="U101" s="59"/>
    </row>
    <row r="102" spans="20:28" ht="16.5" customHeight="1" x14ac:dyDescent="0.3">
      <c r="V102" s="97" t="s">
        <v>154</v>
      </c>
      <c r="X102" s="60" t="s">
        <v>155</v>
      </c>
    </row>
  </sheetData>
  <sortState ref="A11:H42">
    <sortCondition ref="A11:A42"/>
  </sortState>
  <mergeCells count="12">
    <mergeCell ref="B1:G1"/>
    <mergeCell ref="I1:J1"/>
    <mergeCell ref="K1:M1"/>
    <mergeCell ref="O1:Q1"/>
    <mergeCell ref="B80:G80"/>
    <mergeCell ref="I80:J80"/>
    <mergeCell ref="AD1:AE2"/>
    <mergeCell ref="K80:M80"/>
    <mergeCell ref="O80:Q80"/>
    <mergeCell ref="AD79:AE80"/>
    <mergeCell ref="W1:AC1"/>
    <mergeCell ref="W80:AC80"/>
  </mergeCells>
  <pageMargins left="0.25" right="0.25" top="0.75" bottom="0.75" header="0.3" footer="0.3"/>
  <pageSetup paperSize="9" scale="50" orientation="landscape" horizont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spese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Carollo Maria</dc:creator>
  <cp:keywords/>
  <dc:description/>
  <cp:lastModifiedBy>Tirelli Valentina</cp:lastModifiedBy>
  <cp:revision/>
  <dcterms:created xsi:type="dcterms:W3CDTF">2017-01-20T10:02:46Z</dcterms:created>
  <dcterms:modified xsi:type="dcterms:W3CDTF">2019-11-29T09:24:04Z</dcterms:modified>
  <cp:category/>
  <cp:contentStatus/>
</cp:coreProperties>
</file>